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anorton\Desktop\"/>
    </mc:Choice>
  </mc:AlternateContent>
  <bookViews>
    <workbookView xWindow="7875" yWindow="0" windowWidth="14715" windowHeight="5445"/>
  </bookViews>
  <sheets>
    <sheet name="Sheet1" sheetId="1" r:id="rId1"/>
    <sheet name="Sheet2" sheetId="2" r:id="rId2"/>
    <sheet name="Sheet4" sheetId="4" r:id="rId3"/>
    <sheet name="Sheet5" sheetId="5" r:id="rId4"/>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15" i="5" l="1"/>
  <c r="B8" i="1"/>
  <c r="B9" i="1"/>
  <c r="B10" i="1"/>
  <c r="B11" i="1"/>
  <c r="B12" i="1"/>
  <c r="B13" i="1"/>
  <c r="B14" i="1"/>
  <c r="B15" i="1"/>
  <c r="B16" i="1"/>
  <c r="B7" i="1"/>
  <c r="C30" i="4"/>
  <c r="C24" i="4"/>
  <c r="C31" i="4" s="1"/>
  <c r="D23" i="4"/>
  <c r="C22" i="4"/>
  <c r="D22" i="4"/>
  <c r="B22" i="4"/>
  <c r="B17" i="4"/>
  <c r="C17" i="4"/>
  <c r="D17" i="4"/>
  <c r="C15" i="4"/>
  <c r="D15" i="4"/>
  <c r="D30" i="4" s="1"/>
  <c r="B15" i="4"/>
  <c r="B30" i="4" s="1"/>
  <c r="C14" i="4"/>
  <c r="C29" i="4" s="1"/>
  <c r="D14" i="4"/>
  <c r="D29" i="4" s="1"/>
  <c r="B14" i="4"/>
  <c r="B29" i="4" s="1"/>
  <c r="D9" i="4"/>
  <c r="D25" i="4" s="1"/>
  <c r="D32" i="4" s="1"/>
  <c r="C9" i="4"/>
  <c r="B9" i="4"/>
  <c r="D8" i="4"/>
  <c r="C8" i="4"/>
  <c r="C25" i="4" s="1"/>
  <c r="C32" i="4" s="1"/>
  <c r="B8" i="4"/>
  <c r="B25" i="4" s="1"/>
  <c r="B32" i="4" s="1"/>
  <c r="D7" i="4"/>
  <c r="D16" i="4" s="1"/>
  <c r="C7" i="4"/>
  <c r="C16" i="4" s="1"/>
  <c r="B7" i="4"/>
  <c r="B16" i="4" s="1"/>
  <c r="G17" i="1"/>
  <c r="H17" i="1"/>
  <c r="F17" i="1"/>
  <c r="B24" i="4" l="1"/>
  <c r="B31" i="4" s="1"/>
  <c r="C23" i="4"/>
  <c r="D24" i="4"/>
  <c r="D31" i="4" s="1"/>
  <c r="B23" i="4"/>
  <c r="L35" i="5" l="1"/>
  <c r="K35" i="5"/>
  <c r="J35" i="5"/>
  <c r="I35" i="5"/>
  <c r="L33" i="5"/>
  <c r="I33" i="5"/>
  <c r="J26" i="5"/>
  <c r="L28" i="5"/>
  <c r="L31" i="5" s="1"/>
  <c r="K28" i="5"/>
  <c r="K31" i="5" s="1"/>
  <c r="K33" i="5" s="1"/>
  <c r="J28" i="5"/>
  <c r="J31" i="5" s="1"/>
  <c r="J33" i="5" s="1"/>
  <c r="I31" i="5"/>
  <c r="I28" i="5"/>
  <c r="L24" i="5"/>
  <c r="K24" i="5"/>
  <c r="K36" i="5" s="1"/>
  <c r="J24" i="5"/>
  <c r="I24" i="5"/>
  <c r="I26" i="5" s="1"/>
  <c r="L21" i="5"/>
  <c r="K21" i="5"/>
  <c r="J21" i="5"/>
  <c r="I21" i="5"/>
  <c r="E31" i="5"/>
  <c r="E33" i="5" s="1"/>
  <c r="H28" i="5"/>
  <c r="H31" i="5" s="1"/>
  <c r="H33" i="5" s="1"/>
  <c r="G28" i="5"/>
  <c r="G31" i="5" s="1"/>
  <c r="G33" i="5" s="1"/>
  <c r="F28" i="5"/>
  <c r="F31" i="5" s="1"/>
  <c r="F33" i="5" s="1"/>
  <c r="E28" i="5"/>
  <c r="D28" i="5"/>
  <c r="D31" i="5" s="1"/>
  <c r="D33" i="5" s="1"/>
  <c r="C28" i="5"/>
  <c r="C31" i="5" s="1"/>
  <c r="C33" i="5" s="1"/>
  <c r="H21" i="5"/>
  <c r="H24" i="5" s="1"/>
  <c r="H26" i="5" s="1"/>
  <c r="G21" i="5"/>
  <c r="G24" i="5" s="1"/>
  <c r="G26" i="5" s="1"/>
  <c r="F21" i="5"/>
  <c r="F24" i="5" s="1"/>
  <c r="F26" i="5" s="1"/>
  <c r="E21" i="5"/>
  <c r="D21" i="5"/>
  <c r="D24" i="5" s="1"/>
  <c r="D26" i="5" s="1"/>
  <c r="C21" i="5"/>
  <c r="C24" i="5" s="1"/>
  <c r="C26" i="5" s="1"/>
  <c r="H17" i="5"/>
  <c r="H19" i="5" s="1"/>
  <c r="G17" i="5"/>
  <c r="G19" i="5" s="1"/>
  <c r="F17" i="5"/>
  <c r="F19" i="5" s="1"/>
  <c r="E17" i="5"/>
  <c r="E19" i="5" s="1"/>
  <c r="D17" i="5"/>
  <c r="D19" i="5" s="1"/>
  <c r="C17" i="5"/>
  <c r="C19" i="5" s="1"/>
  <c r="L7" i="5"/>
  <c r="L10" i="5" s="1"/>
  <c r="L12" i="5" s="1"/>
  <c r="K7" i="5"/>
  <c r="K10" i="5" s="1"/>
  <c r="K12" i="5" s="1"/>
  <c r="J7" i="5"/>
  <c r="J10" i="5" s="1"/>
  <c r="J12" i="5" s="1"/>
  <c r="I7" i="5"/>
  <c r="I10" i="5" s="1"/>
  <c r="I12" i="5" s="1"/>
  <c r="H7" i="5"/>
  <c r="G7" i="5"/>
  <c r="F7" i="5"/>
  <c r="F10" i="5" s="1"/>
  <c r="F12" i="5" s="1"/>
  <c r="E7" i="5"/>
  <c r="E10" i="5" s="1"/>
  <c r="D7" i="5"/>
  <c r="D10" i="5" s="1"/>
  <c r="C7" i="5"/>
  <c r="C10" i="5" s="1"/>
  <c r="L36" i="5" l="1"/>
  <c r="J37" i="5"/>
  <c r="K26" i="5"/>
  <c r="K37" i="5" s="1"/>
  <c r="L26" i="5"/>
  <c r="L37" i="5" s="1"/>
  <c r="I37" i="5"/>
  <c r="I36" i="5"/>
  <c r="J36" i="5"/>
  <c r="F37" i="5"/>
  <c r="G35" i="5"/>
  <c r="H35" i="5"/>
  <c r="E35" i="5"/>
  <c r="C12" i="5"/>
  <c r="C37" i="5" s="1"/>
  <c r="C36" i="5"/>
  <c r="D36" i="5"/>
  <c r="C21" i="2" s="1"/>
  <c r="D12" i="5"/>
  <c r="D37" i="5" s="1"/>
  <c r="C35" i="5"/>
  <c r="F36" i="5"/>
  <c r="F35" i="5"/>
  <c r="G10" i="5"/>
  <c r="D35" i="5"/>
  <c r="E24" i="5"/>
  <c r="E26" i="5" s="1"/>
  <c r="E12" i="5"/>
  <c r="H10" i="5"/>
  <c r="C37" i="2" l="1"/>
  <c r="C36" i="2"/>
  <c r="C35" i="2"/>
  <c r="C33" i="2"/>
  <c r="C32" i="2"/>
  <c r="C31" i="2"/>
  <c r="C23" i="2"/>
  <c r="C34" i="2"/>
  <c r="C28" i="2"/>
  <c r="C25" i="2"/>
  <c r="C24" i="2"/>
  <c r="C22" i="2"/>
  <c r="C20" i="2"/>
  <c r="C19" i="2"/>
  <c r="H36" i="5"/>
  <c r="H12" i="5"/>
  <c r="H37" i="5" s="1"/>
  <c r="E36" i="5"/>
  <c r="C18" i="2" s="1"/>
  <c r="E37" i="5"/>
  <c r="G36" i="5"/>
  <c r="G12" i="5"/>
  <c r="G37" i="5" s="1"/>
  <c r="C30" i="2" l="1"/>
  <c r="C29" i="2"/>
  <c r="C39" i="2"/>
  <c r="C16" i="2"/>
  <c r="C17" i="2"/>
  <c r="I8" i="1" l="1"/>
  <c r="I9" i="1"/>
  <c r="I10" i="1"/>
  <c r="I11" i="1"/>
  <c r="I12" i="1"/>
  <c r="I13" i="1"/>
  <c r="I14" i="1"/>
  <c r="I15" i="1"/>
  <c r="I16" i="1"/>
  <c r="I7" i="1" l="1"/>
  <c r="I17" i="1" l="1"/>
  <c r="D29" i="1" s="1"/>
  <c r="B29" i="1" l="1"/>
  <c r="C29" i="1"/>
  <c r="E22" i="1"/>
  <c r="F22" i="1" s="1"/>
  <c r="E25" i="1"/>
  <c r="F25" i="1" s="1"/>
  <c r="E24" i="1"/>
  <c r="F24" i="1" s="1"/>
  <c r="E23" i="1"/>
  <c r="F23" i="1" s="1"/>
  <c r="F29" i="1"/>
  <c r="E29" i="1" l="1"/>
  <c r="B30" i="1"/>
  <c r="E26" i="1"/>
  <c r="D30" i="1"/>
  <c r="C30" i="1"/>
  <c r="E30" i="1" l="1"/>
  <c r="F26" i="1"/>
  <c r="H39" i="1"/>
  <c r="F39" i="1"/>
  <c r="G39" i="1"/>
  <c r="H37" i="1"/>
  <c r="F37" i="1"/>
  <c r="G37" i="1"/>
  <c r="G38" i="1"/>
  <c r="H38" i="1"/>
  <c r="F38" i="1"/>
  <c r="H40" i="1"/>
  <c r="F40" i="1"/>
  <c r="G40" i="1"/>
  <c r="L37" i="1"/>
  <c r="M37" i="1"/>
  <c r="K37" i="1"/>
  <c r="M38" i="1"/>
  <c r="K38" i="1"/>
  <c r="L38" i="1"/>
  <c r="M39" i="1"/>
  <c r="K39" i="1"/>
  <c r="L39" i="1"/>
  <c r="M40" i="1"/>
  <c r="K40" i="1"/>
  <c r="L40" i="1"/>
  <c r="G22" i="1"/>
  <c r="G23" i="1"/>
  <c r="G25" i="1"/>
  <c r="F30" i="1"/>
  <c r="G24" i="1"/>
  <c r="Q40" i="1" l="1"/>
  <c r="Q39" i="1" s="1"/>
  <c r="P40" i="1" l="1"/>
  <c r="O40" i="1" s="1"/>
  <c r="Q38" i="1"/>
  <c r="P39" i="1" l="1"/>
  <c r="R40" i="1"/>
  <c r="P38" i="1" l="1"/>
  <c r="O39" i="1"/>
  <c r="R39" i="1" l="1"/>
  <c r="O38" i="1"/>
  <c r="Q37" i="1"/>
  <c r="Q41" i="1" l="1"/>
  <c r="P37" i="1"/>
  <c r="R38" i="1"/>
  <c r="O37" i="1" l="1"/>
  <c r="P41" i="1"/>
  <c r="D40" i="1"/>
  <c r="D39" i="1"/>
  <c r="D38" i="1"/>
  <c r="D49" i="1" l="1"/>
  <c r="D63" i="1" s="1"/>
  <c r="G63" i="1" s="1"/>
  <c r="D48" i="1"/>
  <c r="D62" i="1" s="1"/>
  <c r="G62" i="1" s="1"/>
  <c r="D50" i="1"/>
  <c r="D64" i="1" s="1"/>
  <c r="G64" i="1" s="1"/>
  <c r="O41" i="1"/>
  <c r="R37" i="1"/>
  <c r="C40" i="1"/>
  <c r="C38" i="1"/>
  <c r="C50" i="1" l="1"/>
  <c r="C64" i="1" s="1"/>
  <c r="F64" i="1" s="1"/>
  <c r="C48" i="1"/>
  <c r="C62" i="1" s="1"/>
  <c r="F62" i="1" s="1"/>
  <c r="B40" i="1"/>
  <c r="B39" i="1"/>
  <c r="B38" i="1"/>
  <c r="D37" i="1"/>
  <c r="C37" i="1"/>
  <c r="C39" i="1"/>
  <c r="B37" i="1"/>
  <c r="D47" i="1" l="1"/>
  <c r="D61" i="1" s="1"/>
  <c r="G61" i="1" s="1"/>
  <c r="B48" i="1"/>
  <c r="B62" i="1" s="1"/>
  <c r="E62" i="1" s="1"/>
  <c r="B50" i="1"/>
  <c r="B64" i="1" s="1"/>
  <c r="E64" i="1" s="1"/>
  <c r="B49" i="1"/>
  <c r="B63" i="1" s="1"/>
  <c r="E63" i="1" s="1"/>
  <c r="B47" i="1"/>
  <c r="B61" i="1" s="1"/>
  <c r="E61" i="1" s="1"/>
  <c r="C49" i="1"/>
  <c r="C63" i="1" s="1"/>
  <c r="F63" i="1" s="1"/>
  <c r="C47" i="1"/>
  <c r="C61" i="1" s="1"/>
  <c r="F61" i="1" s="1"/>
  <c r="E38" i="1"/>
  <c r="E40" i="1"/>
  <c r="D41" i="1"/>
  <c r="C41" i="1"/>
  <c r="E39" i="1"/>
  <c r="E37" i="1"/>
  <c r="B41" i="1"/>
  <c r="H65" i="1" l="1"/>
</calcChain>
</file>

<file path=xl/sharedStrings.xml><?xml version="1.0" encoding="utf-8"?>
<sst xmlns="http://schemas.openxmlformats.org/spreadsheetml/2006/main" count="243" uniqueCount="146">
  <si>
    <t>Housing Mitigation Worksheet</t>
  </si>
  <si>
    <t>LDR Rate</t>
  </si>
  <si>
    <t>Agriculture</t>
  </si>
  <si>
    <t>Outdoor Recreation</t>
  </si>
  <si>
    <t>Mobile Home</t>
  </si>
  <si>
    <t>Dormitory</t>
  </si>
  <si>
    <t>Group Home</t>
  </si>
  <si>
    <t>Conventional Lodging</t>
  </si>
  <si>
    <t>Short-Term Rental Unit</t>
  </si>
  <si>
    <t>Office</t>
  </si>
  <si>
    <t>Retail</t>
  </si>
  <si>
    <t>Service</t>
  </si>
  <si>
    <t>Restaurant/Bar</t>
  </si>
  <si>
    <t>Heavy Retail/Service</t>
  </si>
  <si>
    <t>Mini-Storage Warehouse</t>
  </si>
  <si>
    <t>Nursery</t>
  </si>
  <si>
    <t>Amusement</t>
  </si>
  <si>
    <t>Developed Recreation</t>
  </si>
  <si>
    <t>Outfitter/Tour Operator</t>
  </si>
  <si>
    <t>Adult Entertainment Business</t>
  </si>
  <si>
    <t>Assembly</t>
  </si>
  <si>
    <t>Daycare/Education</t>
  </si>
  <si>
    <t>Light Industry</t>
  </si>
  <si>
    <t>Heavy Industry</t>
  </si>
  <si>
    <t>Disposal</t>
  </si>
  <si>
    <t>Parking</t>
  </si>
  <si>
    <t>Utility Facility</t>
  </si>
  <si>
    <t>Wireless Communication Facilities</t>
  </si>
  <si>
    <t>Heliport</t>
  </si>
  <si>
    <t>Accessory Residential Unit</t>
  </si>
  <si>
    <t>Bed and Breakfast</t>
  </si>
  <si>
    <t>Home Occupation</t>
  </si>
  <si>
    <t>Home Business</t>
  </si>
  <si>
    <t>Family Home Daycare</t>
  </si>
  <si>
    <t>Home Daycare Center</t>
  </si>
  <si>
    <t>Drive-In Facility</t>
  </si>
  <si>
    <t>Christmas Tree Sales</t>
  </si>
  <si>
    <t>Real Estate Sales Office</t>
  </si>
  <si>
    <t>Temporary Shelter</t>
  </si>
  <si>
    <t>Farm Stand</t>
  </si>
  <si>
    <t>Temp. Gravel Extraction and Processing</t>
  </si>
  <si>
    <t>Use</t>
  </si>
  <si>
    <t>Rate</t>
  </si>
  <si>
    <t>Exempt</t>
  </si>
  <si>
    <t>Independent Calculation</t>
  </si>
  <si>
    <t>Affordable Units Required</t>
  </si>
  <si>
    <t>Total</t>
  </si>
  <si>
    <t>Affordable Housing Unit</t>
  </si>
  <si>
    <t>Workforce Housing Unit</t>
  </si>
  <si>
    <t>Detached Single-Family Unit (Unrestricted)</t>
  </si>
  <si>
    <t>Attached Single-Family Unit (Unrestricted)</t>
  </si>
  <si>
    <t>Apartment (Unrestricted)</t>
  </si>
  <si>
    <t>Detached Single-Family Unit (Local Occupancy)</t>
  </si>
  <si>
    <t>Attached Single-Family Unit (Local Occupancy)</t>
  </si>
  <si>
    <t>Apartment (Local Occupancy)</t>
  </si>
  <si>
    <t>Rental Units Affordable to Households making 50% Median Income</t>
  </si>
  <si>
    <t>Rental Units Affordable to Households making 80% Median Income</t>
  </si>
  <si>
    <t>Rental/Ownership Units Affordable to Households making 120% Median Income</t>
  </si>
  <si>
    <t>Rental/Ownership Workforce Units</t>
  </si>
  <si>
    <t>Affordability</t>
  </si>
  <si>
    <t>2 Bedroom</t>
  </si>
  <si>
    <t>3 Bedroom</t>
  </si>
  <si>
    <t>Affordable to 50% Median Income</t>
  </si>
  <si>
    <t>Affordable to 80% Median Income</t>
  </si>
  <si>
    <t>Affordable to 120% Median Income</t>
  </si>
  <si>
    <t>Workforce Restriction</t>
  </si>
  <si>
    <t>2 Bed</t>
  </si>
  <si>
    <t>3 Bed</t>
  </si>
  <si>
    <t>Bedroom Mix</t>
  </si>
  <si>
    <t>Proposed</t>
  </si>
  <si>
    <t>Cost per sf</t>
  </si>
  <si>
    <t>Construction</t>
  </si>
  <si>
    <t>Median Income</t>
  </si>
  <si>
    <t>Rental</t>
  </si>
  <si>
    <t>Cap Rate</t>
  </si>
  <si>
    <t>Sales</t>
  </si>
  <si>
    <t>Size</t>
  </si>
  <si>
    <t>Fee In-Lieu</t>
  </si>
  <si>
    <t>?</t>
  </si>
  <si>
    <t>Institutional</t>
  </si>
  <si>
    <t>Industrial</t>
  </si>
  <si>
    <t>Lodging</t>
  </si>
  <si>
    <t>employees per unit</t>
  </si>
  <si>
    <t>affordability gap</t>
  </si>
  <si>
    <t>Post-Construction</t>
  </si>
  <si>
    <t>employees per 1,000 sf/room</t>
  </si>
  <si>
    <t>units per 1,000 sf/room</t>
  </si>
  <si>
    <t>subsidy per 1,000 sf/room</t>
  </si>
  <si>
    <t>Length of Construction Career</t>
  </si>
  <si>
    <t>employees per 1,000 sf</t>
  </si>
  <si>
    <t>sf per room</t>
  </si>
  <si>
    <t>Fire/EMS employees per 1000 sf</t>
  </si>
  <si>
    <t>Fire/EMS units per 1000 sf</t>
  </si>
  <si>
    <t>Law employees per 1000 sf</t>
  </si>
  <si>
    <t>Law units per 1000 sf</t>
  </si>
  <si>
    <t>Fire/EMS</t>
  </si>
  <si>
    <t>Law Enforcement</t>
  </si>
  <si>
    <t>Employees who can afford</t>
  </si>
  <si>
    <t>employees who can afford</t>
  </si>
  <si>
    <t>SFD (nonlocal)</t>
  </si>
  <si>
    <t>SFD (local)</t>
  </si>
  <si>
    <t>SFA (nonlocal)</t>
  </si>
  <si>
    <t>SFA (local)</t>
  </si>
  <si>
    <t>Employees per 1000 sf/room</t>
  </si>
  <si>
    <t>0.204 * bedrooms</t>
  </si>
  <si>
    <t>0.000655 * sf</t>
  </si>
  <si>
    <t>0.000573 * sf</t>
  </si>
  <si>
    <t>0.001589 * sf</t>
  </si>
  <si>
    <t>0.000326 * sf</t>
  </si>
  <si>
    <t>0.000698 * sf</t>
  </si>
  <si>
    <t>0.000017(sf) + (Exp(-15.49 + 1.59*Ln(sf)))/2.414</t>
  </si>
  <si>
    <t>0.000017(sf) + (Exp(-14.17 + 1.59*Ln(sf)))/2.414</t>
  </si>
  <si>
    <t>0.000017(sf) + (Exp(-16.14 + 1.59*Ln(sf)))/2.414</t>
  </si>
  <si>
    <t>0.000017(sf) + (Exp(-14.82 + 1.59*Ln(sf)))/2.414</t>
  </si>
  <si>
    <t>Custom %</t>
  </si>
  <si>
    <r>
      <t xml:space="preserve">Custom % shall be </t>
    </r>
    <r>
      <rPr>
        <sz val="11"/>
        <color theme="1"/>
        <rFont val="Calibri"/>
        <family val="2"/>
      </rPr>
      <t xml:space="preserve">≥ </t>
    </r>
    <r>
      <rPr>
        <sz val="11"/>
        <color theme="1"/>
        <rFont val="Calibri"/>
        <family val="2"/>
        <scheme val="minor"/>
      </rPr>
      <t>34%</t>
    </r>
  </si>
  <si>
    <r>
      <t xml:space="preserve">Custom % shall be </t>
    </r>
    <r>
      <rPr>
        <sz val="11"/>
        <color theme="1"/>
        <rFont val="Calibri"/>
        <family val="2"/>
      </rPr>
      <t xml:space="preserve">≥ </t>
    </r>
    <r>
      <rPr>
        <sz val="11"/>
        <color theme="1"/>
        <rFont val="Calibri"/>
        <family val="2"/>
        <scheme val="minor"/>
      </rPr>
      <t>27%</t>
    </r>
  </si>
  <si>
    <t>Custom % shall be &lt; 23%</t>
  </si>
  <si>
    <r>
      <t xml:space="preserve">Custom % shall be </t>
    </r>
    <r>
      <rPr>
        <sz val="11"/>
        <color theme="1"/>
        <rFont val="Calibri"/>
        <family val="2"/>
      </rPr>
      <t>&lt; 15</t>
    </r>
    <r>
      <rPr>
        <sz val="11"/>
        <color theme="1"/>
        <rFont val="Calibri"/>
        <family val="2"/>
        <scheme val="minor"/>
      </rPr>
      <t>%</t>
    </r>
  </si>
  <si>
    <t>Customization Rules</t>
  </si>
  <si>
    <t>LDR Schedule</t>
  </si>
  <si>
    <t>1 Bed/Studio</t>
  </si>
  <si>
    <t>Total Employees Housed</t>
  </si>
  <si>
    <t>Customization Rule</t>
  </si>
  <si>
    <t>Employees per Unit per LDRs</t>
  </si>
  <si>
    <t>Requirement Distribution</t>
  </si>
  <si>
    <t>Even Distribution</t>
  </si>
  <si>
    <t>Proposed Allocation</t>
  </si>
  <si>
    <t>Proposed Use Size (bedrooms)</t>
  </si>
  <si>
    <t>Proposed Use Size (sf)</t>
  </si>
  <si>
    <t>Proposed Use Quantity</t>
  </si>
  <si>
    <t>Proposed total sall be &gt;= Required</t>
  </si>
  <si>
    <t>Proposed totals shall be &gt;= Schedule totals</t>
  </si>
  <si>
    <t>Total Units</t>
  </si>
  <si>
    <t>Step 2. What types of units are required? The proposed LDRs lay out a schedule for how many units have to be in each income ranges and how many units have to have 1, 2, or 3 bedrooms. The LDRs also allow for adjustment. To propose an adjusted allocation, change the values in the proposed column/row (gold cells); the customized allocation must meet the customization rules provided, and may not result in less affordable workforce units provided than are required. If a rule is violated the cell will turn red. See also Section 6.3.4 of the proposed LDRs.</t>
  </si>
  <si>
    <t>Step 3. Distribute the affordability and bedroom mix. The bedroom mix must be proportionaly distributed among the affordability mix. If you modify the distribution (gold cells) the totals must match your allocation totals (they will turn red if they don't). A customized distribution should be within 1 (rounded up or down) of the even distribution. See also Section 6.3.4 of the proposed LDRs.</t>
  </si>
  <si>
    <t>Step 4. How will the required housing be provided? The proposed LDRs require that unlesss impractical any housing requirement of 1 unit or greater be provided through consturction of housing. If impractical the units my be provided by dedication of land, use of a banked unit, or restriction of an existing unit. Only as a last option shall a fee be paid. Enter the number of units to be constructed or provided through land dedication, use of a banked unit, or restriction of an existing unit (gold boxes). The in-lieu fee remaining will calculate. See also Section 6.3.5 of the proposed LDRs.</t>
  </si>
  <si>
    <t>Units Constructed</t>
  </si>
  <si>
    <t>Units Provided via Land Dedication</t>
  </si>
  <si>
    <t>Banked Units Used</t>
  </si>
  <si>
    <t>Existing Units Restricted</t>
  </si>
  <si>
    <t>Units Provided via In-Lieu Fee</t>
  </si>
  <si>
    <t>Fee</t>
  </si>
  <si>
    <t>Workorce Housing Bonus Unit</t>
  </si>
  <si>
    <t>Step 1. Describe your project. Enter as many rows as needed to discribe the different uses and unit types proposed. Select a use from the use table in the left most gold boxes. In the other gold boxes, descibe each use's size in floor area and bedrooms (if applicable), then describe how many units of each use type are proposed.The required affordable housing will calculate for each unit and populate the Total box. See also Sections 6.3.2 and 6.3.3 of the proposed LDRs.</t>
  </si>
  <si>
    <t xml:space="preserve">Please use this worksheet to calculate the  affordable workfoce housing requirements as drafted March 16, 2018. Cells that can be modified are highlighted in gold, other cells are locked. If you modify a gold cell for one example, and wish to use the worksheet for another example, it is best to start with a fresh worksheet in order to reset the auto population equations for the gold cells. </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</si>
</sst>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8" formatCode="&quot;$&quot;#,##0.00_);[Red]\(&quot;$&quot;#,##0.00\)"/>
    <numFmt numFmtId="44" formatCode="_(&quot;$&quot;* #,##0.00_);_(&quot;$&quot;* \(#,##0.00\);_(&quot;$&quot;* &quot;-&quot;??_);_(@_)"/>
    <numFmt numFmtId="164" formatCode="0.0"/>
    <numFmt numFmtId="165" formatCode="0.00000"/>
    <numFmt numFmtId="166" formatCode="0.000"/>
    <numFmt numFmtId="167" formatCode="_(&quot;$&quot;* #,##0_);_(&quot;$&quot;* \(#,##0\);_(&quot;$&quot;* &quot;-&quot;??_);_(@_)"/>
    <numFmt numFmtId="168" formatCode="0.000000"/>
  </numFmts>
  <fonts count="13" x14ac:knownFonts="1">
    <font>
      <sz val="11"/>
      <color theme="1"/>
      <name val="Calibri"/>
      <family val="2"/>
      <scheme val="minor"/>
    </font>
    <font>
      <sz val="11"/>
      <color theme="1"/>
      <name val="Arial"/>
      <family val="2"/>
    </font>
    <font>
      <sz val="11"/>
      <color theme="1"/>
      <name val="Calibri"/>
      <family val="2"/>
      <scheme val="minor"/>
    </font>
    <font>
      <b/>
      <sz val="11"/>
      <color theme="1"/>
      <name val="Calibri"/>
      <family val="2"/>
      <scheme val="minor"/>
    </font>
    <font>
      <sz val="11"/>
      <color theme="1"/>
      <name val="Calibri"/>
      <family val="2"/>
    </font>
    <font>
      <sz val="11"/>
      <color theme="7" tint="-0.499984740745262"/>
      <name val="Calibri"/>
      <family val="2"/>
      <scheme val="minor"/>
    </font>
    <font>
      <b/>
      <sz val="11"/>
      <color theme="0"/>
      <name val="Calibri"/>
      <family val="2"/>
      <scheme val="minor"/>
    </font>
    <font>
      <sz val="11"/>
      <color theme="0"/>
      <name val="Calibri"/>
      <family val="2"/>
      <scheme val="minor"/>
    </font>
    <font>
      <sz val="18"/>
      <color theme="1"/>
      <name val="Calibri"/>
      <family val="2"/>
      <scheme val="minor"/>
    </font>
    <font>
      <sz val="12"/>
      <color theme="1"/>
      <name val="Calibri"/>
      <family val="2"/>
      <scheme val="minor"/>
    </font>
    <font>
      <b/>
      <sz val="11"/>
      <color theme="7" tint="-0.499984740745262"/>
      <name val="Calibri"/>
      <family val="2"/>
      <scheme val="minor"/>
    </font>
    <font>
      <b/>
      <sz val="11"/>
      <name val="Calibri"/>
      <family val="2"/>
      <scheme val="minor"/>
    </font>
    <font>
      <b/>
      <sz val="11"/>
      <color theme="9" tint="-0.499984740745262"/>
      <name val="Calibri"/>
      <family val="2"/>
      <scheme val="minor"/>
    </font>
  </fonts>
  <fills count="5">
    <fill>
      <patternFill patternType="none"/>
    </fill>
    <fill>
      <patternFill patternType="gray125"/>
    </fill>
    <fill>
      <patternFill patternType="solid">
        <fgColor theme="9" tint="0.79998168889431442"/>
        <bgColor indexed="64"/>
      </patternFill>
    </fill>
    <fill>
      <patternFill patternType="solid">
        <fgColor theme="7" tint="0.79998168889431442"/>
        <bgColor indexed="64"/>
      </patternFill>
    </fill>
    <fill>
      <patternFill patternType="solid">
        <fgColor theme="0" tint="-4.9989318521683403E-2"/>
        <bgColor indexed="64"/>
      </patternFill>
    </fill>
  </fills>
  <borders count="37">
    <border>
      <left/>
      <right/>
      <top/>
      <bottom/>
      <diagonal/>
    </border>
    <border>
      <left style="medium">
        <color indexed="64"/>
      </left>
      <right style="medium">
        <color indexed="64"/>
      </right>
      <top style="medium">
        <color indexed="64"/>
      </top>
      <bottom style="medium">
        <color indexed="64"/>
      </bottom>
      <diagonal/>
    </border>
    <border>
      <left style="thin">
        <color theme="7"/>
      </left>
      <right style="thin">
        <color theme="7"/>
      </right>
      <top style="thin">
        <color theme="7"/>
      </top>
      <bottom style="thin">
        <color theme="7"/>
      </bottom>
      <diagonal/>
    </border>
    <border>
      <left style="thin">
        <color indexed="64"/>
      </left>
      <right style="thin">
        <color indexed="64"/>
      </right>
      <top style="thin">
        <color indexed="64"/>
      </top>
      <bottom style="thin">
        <color indexed="64"/>
      </bottom>
      <diagonal/>
    </border>
    <border>
      <left style="thin">
        <color theme="7"/>
      </left>
      <right style="thin">
        <color theme="7"/>
      </right>
      <top/>
      <bottom style="thin">
        <color theme="7"/>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theme="7"/>
      </right>
      <top/>
      <bottom/>
      <diagonal/>
    </border>
    <border>
      <left style="thin">
        <color theme="7"/>
      </left>
      <right/>
      <top/>
      <bottom style="thin">
        <color theme="7"/>
      </bottom>
      <diagonal/>
    </border>
    <border>
      <left style="thin">
        <color theme="7"/>
      </left>
      <right/>
      <top style="thin">
        <color theme="7"/>
      </top>
      <bottom style="thin">
        <color theme="7"/>
      </bottom>
      <diagonal/>
    </border>
    <border>
      <left/>
      <right style="thin">
        <color theme="7"/>
      </right>
      <top/>
      <bottom style="thin">
        <color theme="7"/>
      </bottom>
      <diagonal/>
    </border>
    <border>
      <left/>
      <right style="thin">
        <color theme="7"/>
      </right>
      <top style="thin">
        <color theme="7"/>
      </top>
      <bottom style="thin">
        <color theme="7"/>
      </bottom>
      <diagonal/>
    </border>
    <border>
      <left style="thin">
        <color theme="7"/>
      </left>
      <right/>
      <top style="thin">
        <color theme="7"/>
      </top>
      <bottom/>
      <diagonal/>
    </border>
    <border>
      <left style="thin">
        <color indexed="64"/>
      </left>
      <right style="thin">
        <color indexed="64"/>
      </right>
      <top style="thin">
        <color indexed="64"/>
      </top>
      <bottom/>
      <diagonal/>
    </border>
    <border>
      <left/>
      <right style="thin">
        <color theme="7"/>
      </right>
      <top style="thin">
        <color theme="7"/>
      </top>
      <bottom/>
      <diagonal/>
    </border>
    <border>
      <left style="thin">
        <color theme="7"/>
      </left>
      <right style="thin">
        <color theme="7"/>
      </right>
      <top style="thin">
        <color theme="7"/>
      </top>
      <bottom/>
      <diagonal/>
    </border>
    <border>
      <left/>
      <right/>
      <top/>
      <bottom style="thin">
        <color theme="7"/>
      </bottom>
      <diagonal/>
    </border>
    <border>
      <left style="thin">
        <color indexed="64"/>
      </left>
      <right/>
      <top style="thin">
        <color indexed="64"/>
      </top>
      <bottom/>
      <diagonal/>
    </border>
    <border>
      <left/>
      <right/>
      <top style="thin">
        <color theme="7"/>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theme="7"/>
      </right>
      <top style="thin">
        <color indexed="64"/>
      </top>
      <bottom style="thin">
        <color theme="7"/>
      </bottom>
      <diagonal/>
    </border>
    <border>
      <left style="thin">
        <color theme="7"/>
      </left>
      <right style="thin">
        <color theme="7"/>
      </right>
      <top style="thin">
        <color indexed="64"/>
      </top>
      <bottom style="thin">
        <color theme="7"/>
      </bottom>
      <diagonal/>
    </border>
    <border>
      <left style="thin">
        <color theme="7"/>
      </left>
      <right style="thin">
        <color indexed="64"/>
      </right>
      <top style="thin">
        <color indexed="64"/>
      </top>
      <bottom style="thin">
        <color theme="7"/>
      </bottom>
      <diagonal/>
    </border>
    <border>
      <left style="thin">
        <color indexed="64"/>
      </left>
      <right style="thin">
        <color theme="7"/>
      </right>
      <top style="thin">
        <color theme="7"/>
      </top>
      <bottom style="thin">
        <color theme="7"/>
      </bottom>
      <diagonal/>
    </border>
    <border>
      <left style="thin">
        <color theme="7"/>
      </left>
      <right style="thin">
        <color indexed="64"/>
      </right>
      <top style="thin">
        <color theme="7"/>
      </top>
      <bottom style="thin">
        <color theme="7"/>
      </bottom>
      <diagonal/>
    </border>
    <border>
      <left style="thin">
        <color indexed="64"/>
      </left>
      <right style="thin">
        <color theme="7"/>
      </right>
      <top style="thin">
        <color theme="7"/>
      </top>
      <bottom style="thin">
        <color indexed="64"/>
      </bottom>
      <diagonal/>
    </border>
    <border>
      <left style="thin">
        <color theme="7"/>
      </left>
      <right style="thin">
        <color theme="7"/>
      </right>
      <top style="thin">
        <color theme="7"/>
      </top>
      <bottom style="thin">
        <color indexed="64"/>
      </bottom>
      <diagonal/>
    </border>
    <border>
      <left style="thin">
        <color theme="7"/>
      </left>
      <right style="thin">
        <color indexed="64"/>
      </right>
      <top style="thin">
        <color theme="7"/>
      </top>
      <bottom style="thin">
        <color indexed="64"/>
      </bottom>
      <diagonal/>
    </border>
    <border>
      <left style="thin">
        <color indexed="64"/>
      </left>
      <right style="thin">
        <color indexed="64"/>
      </right>
      <top/>
      <bottom/>
      <diagonal/>
    </border>
    <border>
      <left style="thick">
        <color indexed="64"/>
      </left>
      <right style="thin">
        <color indexed="64"/>
      </right>
      <top style="thin">
        <color indexed="64"/>
      </top>
      <bottom style="thin">
        <color indexed="64"/>
      </bottom>
      <diagonal/>
    </border>
    <border>
      <left style="thick">
        <color indexed="64"/>
      </left>
      <right/>
      <top style="thin">
        <color indexed="64"/>
      </top>
      <bottom style="thin">
        <color indexed="64"/>
      </bottom>
      <diagonal/>
    </border>
    <border>
      <left/>
      <right style="thick">
        <color indexed="64"/>
      </right>
      <top style="thin">
        <color indexed="64"/>
      </top>
      <bottom style="thin">
        <color indexed="64"/>
      </bottom>
      <diagonal/>
    </border>
  </borders>
  <cellStyleXfs count="2">
    <xf numFmtId="0" fontId="0" fillId="0" borderId="0"/>
    <xf numFmtId="44" fontId="2" fillId="0" borderId="0" applyFont="0" applyFill="0" applyBorder="0" applyAlignment="0" applyProtection="0"/>
  </cellStyleXfs>
  <cellXfs count="121">
    <xf numFmtId="0" fontId="0" fillId="0" borderId="0" xfId="0"/>
    <xf numFmtId="0" fontId="1" fillId="0" borderId="0" xfId="0" applyFont="1" applyAlignment="1">
      <alignment vertical="center"/>
    </xf>
    <xf numFmtId="0" fontId="1" fillId="0" borderId="0" xfId="0" applyFont="1" applyAlignment="1">
      <alignment horizontal="left" vertical="top"/>
    </xf>
    <xf numFmtId="0" fontId="0" fillId="0" borderId="0" xfId="0" applyAlignment="1">
      <alignment wrapText="1"/>
    </xf>
    <xf numFmtId="0" fontId="0" fillId="0" borderId="0" xfId="0" applyAlignment="1">
      <alignment horizontal="right"/>
    </xf>
    <xf numFmtId="9" fontId="0" fillId="0" borderId="0" xfId="0" applyNumberFormat="1"/>
    <xf numFmtId="0" fontId="0" fillId="0" borderId="0" xfId="0" applyAlignment="1">
      <alignment horizontal="left"/>
    </xf>
    <xf numFmtId="44" fontId="0" fillId="0" borderId="0" xfId="1" applyFont="1"/>
    <xf numFmtId="8" fontId="0" fillId="0" borderId="0" xfId="0" applyNumberFormat="1"/>
    <xf numFmtId="44" fontId="0" fillId="0" borderId="0" xfId="0" applyNumberFormat="1"/>
    <xf numFmtId="0" fontId="0" fillId="0" borderId="0" xfId="0" applyNumberFormat="1"/>
    <xf numFmtId="0" fontId="0" fillId="0" borderId="0" xfId="0" applyNumberFormat="1" applyAlignment="1">
      <alignment horizontal="right"/>
    </xf>
    <xf numFmtId="0" fontId="0" fillId="0" borderId="0" xfId="0" applyNumberFormat="1" applyAlignment="1">
      <alignment wrapText="1"/>
    </xf>
    <xf numFmtId="165" fontId="0" fillId="0" borderId="0" xfId="0" applyNumberFormat="1"/>
    <xf numFmtId="166" fontId="0" fillId="0" borderId="0" xfId="0" applyNumberFormat="1"/>
    <xf numFmtId="2" fontId="0" fillId="0" borderId="0" xfId="0" applyNumberFormat="1"/>
    <xf numFmtId="10" fontId="0" fillId="0" borderId="0" xfId="0" applyNumberFormat="1"/>
    <xf numFmtId="10" fontId="0" fillId="0" borderId="0" xfId="0" applyNumberFormat="1" applyAlignment="1">
      <alignment horizontal="right"/>
    </xf>
    <xf numFmtId="0" fontId="0" fillId="0" borderId="0" xfId="0" applyAlignment="1"/>
    <xf numFmtId="0" fontId="0" fillId="0" borderId="0" xfId="0" applyNumberFormat="1" applyAlignment="1"/>
    <xf numFmtId="168" fontId="0" fillId="0" borderId="0" xfId="0" applyNumberFormat="1"/>
    <xf numFmtId="0" fontId="3" fillId="0" borderId="0" xfId="0" applyFont="1" applyAlignment="1">
      <alignment horizontal="left" wrapText="1"/>
    </xf>
    <xf numFmtId="0" fontId="8" fillId="0" borderId="0" xfId="0" applyFont="1"/>
    <xf numFmtId="0" fontId="9" fillId="0" borderId="0" xfId="0" applyFont="1"/>
    <xf numFmtId="0" fontId="0" fillId="4" borderId="3" xfId="0" applyFill="1" applyBorder="1"/>
    <xf numFmtId="0" fontId="0" fillId="4" borderId="3" xfId="0" applyFill="1" applyBorder="1" applyAlignment="1">
      <alignment wrapText="1"/>
    </xf>
    <xf numFmtId="0" fontId="3" fillId="4" borderId="3" xfId="0" applyFont="1" applyFill="1" applyBorder="1" applyAlignment="1">
      <alignment wrapText="1"/>
    </xf>
    <xf numFmtId="0" fontId="0" fillId="4" borderId="5" xfId="0" applyFill="1" applyBorder="1" applyAlignment="1">
      <alignment horizontal="left"/>
    </xf>
    <xf numFmtId="0" fontId="0" fillId="4" borderId="6" xfId="0" applyFill="1" applyBorder="1" applyAlignment="1">
      <alignment horizontal="left"/>
    </xf>
    <xf numFmtId="0" fontId="0" fillId="4" borderId="7" xfId="0" applyFill="1" applyBorder="1" applyAlignment="1">
      <alignment horizontal="left"/>
    </xf>
    <xf numFmtId="0" fontId="0" fillId="0" borderId="3" xfId="0" applyBorder="1" applyAlignment="1">
      <alignment horizontal="left"/>
    </xf>
    <xf numFmtId="166" fontId="3" fillId="0" borderId="3" xfId="0" applyNumberFormat="1" applyFont="1" applyBorder="1"/>
    <xf numFmtId="0" fontId="3" fillId="4" borderId="3" xfId="0" applyFont="1" applyFill="1" applyBorder="1" applyAlignment="1">
      <alignment horizontal="right"/>
    </xf>
    <xf numFmtId="0" fontId="0" fillId="4" borderId="5" xfId="0" applyFill="1" applyBorder="1"/>
    <xf numFmtId="166" fontId="3" fillId="0" borderId="15" xfId="0" applyNumberFormat="1" applyFont="1" applyBorder="1"/>
    <xf numFmtId="0" fontId="0" fillId="4" borderId="3" xfId="0" applyFill="1" applyBorder="1" applyAlignment="1">
      <alignment horizontal="left"/>
    </xf>
    <xf numFmtId="0" fontId="0" fillId="0" borderId="3" xfId="0" applyBorder="1" applyAlignment="1">
      <alignment horizontal="right"/>
    </xf>
    <xf numFmtId="166" fontId="0" fillId="0" borderId="3" xfId="0" applyNumberFormat="1" applyBorder="1"/>
    <xf numFmtId="9" fontId="0" fillId="0" borderId="3" xfId="0" applyNumberFormat="1" applyBorder="1"/>
    <xf numFmtId="0" fontId="0" fillId="0" borderId="3" xfId="0" applyBorder="1"/>
    <xf numFmtId="0" fontId="0" fillId="0" borderId="0" xfId="0" applyFill="1" applyBorder="1"/>
    <xf numFmtId="0" fontId="0" fillId="0" borderId="0" xfId="0" applyFill="1" applyBorder="1" applyAlignment="1">
      <alignment horizontal="left"/>
    </xf>
    <xf numFmtId="0" fontId="0" fillId="0" borderId="0" xfId="0" applyFill="1" applyBorder="1" applyAlignment="1">
      <alignment wrapText="1"/>
    </xf>
    <xf numFmtId="0" fontId="3" fillId="0" borderId="0" xfId="0" applyFont="1" applyFill="1" applyBorder="1" applyAlignment="1">
      <alignment wrapText="1"/>
    </xf>
    <xf numFmtId="0" fontId="0" fillId="0" borderId="0" xfId="0" applyFill="1" applyAlignment="1">
      <alignment wrapText="1"/>
    </xf>
    <xf numFmtId="0" fontId="0" fillId="0" borderId="0" xfId="0" applyFill="1"/>
    <xf numFmtId="0" fontId="0" fillId="0" borderId="3" xfId="0" applyBorder="1" applyAlignment="1">
      <alignment horizontal="right"/>
    </xf>
    <xf numFmtId="166" fontId="0" fillId="0" borderId="5" xfId="0" applyNumberFormat="1" applyBorder="1"/>
    <xf numFmtId="0" fontId="0" fillId="0" borderId="5" xfId="0" applyBorder="1"/>
    <xf numFmtId="166" fontId="0" fillId="4" borderId="3" xfId="0" applyNumberFormat="1" applyFill="1" applyBorder="1"/>
    <xf numFmtId="0" fontId="0" fillId="0" borderId="19" xfId="0" applyBorder="1" applyAlignment="1">
      <alignment horizontal="left" wrapText="1"/>
    </xf>
    <xf numFmtId="0" fontId="0" fillId="0" borderId="8" xfId="0" applyBorder="1" applyAlignment="1">
      <alignment horizontal="left" wrapText="1"/>
    </xf>
    <xf numFmtId="0" fontId="0" fillId="0" borderId="21" xfId="0" applyBorder="1" applyAlignment="1">
      <alignment horizontal="left" wrapText="1"/>
    </xf>
    <xf numFmtId="0" fontId="0" fillId="0" borderId="22" xfId="0" applyBorder="1" applyAlignment="1">
      <alignment horizontal="left" wrapText="1"/>
    </xf>
    <xf numFmtId="0" fontId="0" fillId="0" borderId="23" xfId="0" applyBorder="1" applyAlignment="1">
      <alignment horizontal="left" wrapText="1"/>
    </xf>
    <xf numFmtId="0" fontId="0" fillId="0" borderId="24" xfId="0" applyBorder="1" applyAlignment="1">
      <alignment horizontal="left" wrapText="1"/>
    </xf>
    <xf numFmtId="0" fontId="0" fillId="4" borderId="3" xfId="0" applyFill="1" applyBorder="1" applyAlignment="1">
      <alignment horizontal="right"/>
    </xf>
    <xf numFmtId="0" fontId="0" fillId="4" borderId="3" xfId="0" applyFill="1" applyBorder="1" applyAlignment="1">
      <alignment horizontal="right"/>
    </xf>
    <xf numFmtId="0" fontId="0" fillId="4" borderId="5" xfId="0" applyFill="1" applyBorder="1" applyAlignment="1">
      <alignment horizontal="center" wrapText="1"/>
    </xf>
    <xf numFmtId="0" fontId="0" fillId="4" borderId="6" xfId="0" applyFill="1" applyBorder="1" applyAlignment="1">
      <alignment horizontal="center" wrapText="1"/>
    </xf>
    <xf numFmtId="0" fontId="0" fillId="4" borderId="7" xfId="0" applyFill="1" applyBorder="1" applyAlignment="1">
      <alignment horizontal="center" wrapText="1"/>
    </xf>
    <xf numFmtId="0" fontId="3" fillId="0" borderId="0" xfId="0" applyFont="1" applyFill="1" applyBorder="1" applyAlignment="1">
      <alignment horizontal="left" wrapText="1"/>
    </xf>
    <xf numFmtId="1" fontId="0" fillId="4" borderId="3" xfId="0" applyNumberFormat="1" applyFill="1" applyBorder="1"/>
    <xf numFmtId="1" fontId="0" fillId="4" borderId="3" xfId="0" applyNumberFormat="1" applyFill="1" applyBorder="1" applyAlignment="1">
      <alignment horizontal="center"/>
    </xf>
    <xf numFmtId="166" fontId="12" fillId="2" borderId="1" xfId="0" applyNumberFormat="1" applyFont="1" applyFill="1" applyBorder="1"/>
    <xf numFmtId="0" fontId="0" fillId="0" borderId="15" xfId="0" applyBorder="1" applyAlignment="1">
      <alignment horizontal="right"/>
    </xf>
    <xf numFmtId="166" fontId="0" fillId="0" borderId="15" xfId="0" applyNumberFormat="1" applyBorder="1"/>
    <xf numFmtId="9" fontId="0" fillId="0" borderId="15" xfId="0" applyNumberFormat="1" applyBorder="1"/>
    <xf numFmtId="0" fontId="0" fillId="0" borderId="15" xfId="0" applyBorder="1"/>
    <xf numFmtId="166" fontId="0" fillId="0" borderId="3" xfId="0" applyNumberFormat="1" applyBorder="1" applyAlignment="1"/>
    <xf numFmtId="0" fontId="0" fillId="4" borderId="3" xfId="0" applyFill="1" applyBorder="1" applyAlignment="1"/>
    <xf numFmtId="166" fontId="0" fillId="4" borderId="3" xfId="0" applyNumberFormat="1" applyFill="1" applyBorder="1" applyAlignment="1">
      <alignment wrapText="1"/>
    </xf>
    <xf numFmtId="164" fontId="7" fillId="0" borderId="0" xfId="0" applyNumberFormat="1" applyFont="1" applyFill="1" applyBorder="1"/>
    <xf numFmtId="0" fontId="7" fillId="0" borderId="0" xfId="0" applyFont="1" applyFill="1" applyBorder="1"/>
    <xf numFmtId="166" fontId="6" fillId="0" borderId="0" xfId="0" applyNumberFormat="1" applyFont="1" applyFill="1" applyBorder="1"/>
    <xf numFmtId="166" fontId="7" fillId="0" borderId="0" xfId="0" applyNumberFormat="1" applyFont="1" applyFill="1" applyBorder="1"/>
    <xf numFmtId="2" fontId="7" fillId="0" borderId="0" xfId="0" applyNumberFormat="1" applyFont="1" applyFill="1" applyBorder="1"/>
    <xf numFmtId="1" fontId="7" fillId="0" borderId="0" xfId="0" applyNumberFormat="1" applyFont="1" applyFill="1" applyBorder="1"/>
    <xf numFmtId="166" fontId="0" fillId="0" borderId="0" xfId="0" applyNumberFormat="1" applyFill="1" applyBorder="1"/>
    <xf numFmtId="167" fontId="0" fillId="4" borderId="3" xfId="1" applyNumberFormat="1" applyFont="1" applyFill="1" applyBorder="1"/>
    <xf numFmtId="0" fontId="0" fillId="0" borderId="33" xfId="0" applyFill="1" applyBorder="1" applyAlignment="1">
      <alignment horizontal="right"/>
    </xf>
    <xf numFmtId="0" fontId="0" fillId="0" borderId="33" xfId="0" applyFill="1" applyBorder="1"/>
    <xf numFmtId="166" fontId="10" fillId="0" borderId="23" xfId="0" applyNumberFormat="1" applyFont="1" applyFill="1" applyBorder="1"/>
    <xf numFmtId="0" fontId="0" fillId="0" borderId="6" xfId="0" applyFill="1" applyBorder="1" applyAlignment="1">
      <alignment horizontal="right"/>
    </xf>
    <xf numFmtId="166" fontId="10" fillId="0" borderId="0" xfId="0" applyNumberFormat="1" applyFont="1" applyFill="1" applyBorder="1"/>
    <xf numFmtId="167" fontId="11" fillId="0" borderId="3" xfId="1" applyNumberFormat="1" applyFont="1" applyFill="1" applyBorder="1"/>
    <xf numFmtId="0" fontId="0" fillId="0" borderId="34" xfId="0" applyBorder="1"/>
    <xf numFmtId="167" fontId="11" fillId="0" borderId="34" xfId="1" applyNumberFormat="1" applyFont="1" applyFill="1" applyBorder="1"/>
    <xf numFmtId="167" fontId="0" fillId="4" borderId="35" xfId="1" applyNumberFormat="1" applyFont="1" applyFill="1" applyBorder="1" applyAlignment="1">
      <alignment horizontal="right"/>
    </xf>
    <xf numFmtId="167" fontId="0" fillId="4" borderId="6" xfId="1" applyNumberFormat="1" applyFont="1" applyFill="1" applyBorder="1" applyAlignment="1">
      <alignment horizontal="right"/>
    </xf>
    <xf numFmtId="167" fontId="0" fillId="4" borderId="15" xfId="1" applyNumberFormat="1" applyFont="1" applyFill="1" applyBorder="1"/>
    <xf numFmtId="167" fontId="3" fillId="4" borderId="1" xfId="1" applyNumberFormat="1" applyFont="1" applyFill="1" applyBorder="1"/>
    <xf numFmtId="0" fontId="0" fillId="4" borderId="34" xfId="0" applyFill="1" applyBorder="1" applyAlignment="1">
      <alignment horizontal="left"/>
    </xf>
    <xf numFmtId="0" fontId="0" fillId="4" borderId="36" xfId="0" applyFill="1" applyBorder="1" applyAlignment="1">
      <alignment horizontal="left"/>
    </xf>
    <xf numFmtId="166" fontId="0" fillId="0" borderId="6" xfId="0" applyNumberFormat="1" applyBorder="1"/>
    <xf numFmtId="166" fontId="0" fillId="0" borderId="36" xfId="0" applyNumberFormat="1" applyBorder="1"/>
    <xf numFmtId="0" fontId="0" fillId="4" borderId="6" xfId="0" applyFill="1" applyBorder="1"/>
    <xf numFmtId="0" fontId="0" fillId="4" borderId="36" xfId="0" applyFill="1" applyBorder="1"/>
    <xf numFmtId="0" fontId="5" fillId="3" borderId="10" xfId="0" applyFont="1" applyFill="1" applyBorder="1" applyProtection="1">
      <protection locked="0"/>
    </xf>
    <xf numFmtId="0" fontId="5" fillId="3" borderId="11" xfId="0" applyFont="1" applyFill="1" applyBorder="1" applyProtection="1">
      <protection locked="0"/>
    </xf>
    <xf numFmtId="0" fontId="5" fillId="3" borderId="14" xfId="0" applyFont="1" applyFill="1" applyBorder="1" applyProtection="1">
      <protection locked="0"/>
    </xf>
    <xf numFmtId="0" fontId="5" fillId="3" borderId="12" xfId="0" applyFont="1" applyFill="1" applyBorder="1" applyProtection="1">
      <protection locked="0"/>
    </xf>
    <xf numFmtId="0" fontId="5" fillId="3" borderId="4" xfId="0" applyFont="1" applyFill="1" applyBorder="1" applyProtection="1">
      <protection locked="0"/>
    </xf>
    <xf numFmtId="0" fontId="5" fillId="3" borderId="13" xfId="0" applyFont="1" applyFill="1" applyBorder="1" applyProtection="1">
      <protection locked="0"/>
    </xf>
    <xf numFmtId="0" fontId="5" fillId="3" borderId="2" xfId="0" applyFont="1" applyFill="1" applyBorder="1" applyProtection="1">
      <protection locked="0"/>
    </xf>
    <xf numFmtId="0" fontId="5" fillId="3" borderId="16" xfId="0" applyFont="1" applyFill="1" applyBorder="1" applyProtection="1">
      <protection locked="0"/>
    </xf>
    <xf numFmtId="0" fontId="5" fillId="3" borderId="17" xfId="0" applyFont="1" applyFill="1" applyBorder="1" applyProtection="1">
      <protection locked="0"/>
    </xf>
    <xf numFmtId="166" fontId="10" fillId="3" borderId="18" xfId="0" applyNumberFormat="1" applyFont="1" applyFill="1" applyBorder="1" applyProtection="1">
      <protection locked="0"/>
    </xf>
    <xf numFmtId="166" fontId="10" fillId="3" borderId="9" xfId="0" applyNumberFormat="1" applyFont="1" applyFill="1" applyBorder="1" applyProtection="1">
      <protection locked="0"/>
    </xf>
    <xf numFmtId="166" fontId="10" fillId="3" borderId="16" xfId="0" applyNumberFormat="1" applyFont="1" applyFill="1" applyBorder="1" applyProtection="1">
      <protection locked="0"/>
    </xf>
    <xf numFmtId="166" fontId="10" fillId="3" borderId="20" xfId="0" applyNumberFormat="1" applyFont="1" applyFill="1" applyBorder="1" applyProtection="1">
      <protection locked="0"/>
    </xf>
    <xf numFmtId="166" fontId="10" fillId="3" borderId="25" xfId="0" applyNumberFormat="1" applyFont="1" applyFill="1" applyBorder="1" applyProtection="1">
      <protection locked="0"/>
    </xf>
    <xf numFmtId="166" fontId="10" fillId="3" borderId="26" xfId="0" applyNumberFormat="1" applyFont="1" applyFill="1" applyBorder="1" applyProtection="1">
      <protection locked="0"/>
    </xf>
    <xf numFmtId="166" fontId="10" fillId="3" borderId="27" xfId="0" applyNumberFormat="1" applyFont="1" applyFill="1" applyBorder="1" applyProtection="1">
      <protection locked="0"/>
    </xf>
    <xf numFmtId="166" fontId="10" fillId="3" borderId="28" xfId="0" applyNumberFormat="1" applyFont="1" applyFill="1" applyBorder="1" applyProtection="1">
      <protection locked="0"/>
    </xf>
    <xf numFmtId="166" fontId="10" fillId="3" borderId="2" xfId="0" applyNumberFormat="1" applyFont="1" applyFill="1" applyBorder="1" applyProtection="1">
      <protection locked="0"/>
    </xf>
    <xf numFmtId="166" fontId="10" fillId="3" borderId="29" xfId="0" applyNumberFormat="1" applyFont="1" applyFill="1" applyBorder="1" applyProtection="1">
      <protection locked="0"/>
    </xf>
    <xf numFmtId="166" fontId="10" fillId="3" borderId="30" xfId="0" applyNumberFormat="1" applyFont="1" applyFill="1" applyBorder="1" applyProtection="1">
      <protection locked="0"/>
    </xf>
    <xf numFmtId="166" fontId="10" fillId="3" borderId="31" xfId="0" applyNumberFormat="1" applyFont="1" applyFill="1" applyBorder="1" applyProtection="1">
      <protection locked="0"/>
    </xf>
    <xf numFmtId="166" fontId="10" fillId="3" borderId="32" xfId="0" applyNumberFormat="1" applyFont="1" applyFill="1" applyBorder="1" applyProtection="1">
      <protection locked="0"/>
    </xf>
    <xf numFmtId="0" fontId="0" fillId="0" borderId="0" xfId="0" applyFont="1" applyAlignment="1">
      <alignment horizontal="left" wrapText="1"/>
    </xf>
  </cellXfs>
  <cellStyles count="2">
    <cellStyle name="Currency" xfId="1" builtinId="4"/>
    <cellStyle name="Normal" xfId="0" builtinId="0"/>
  </cellStyles>
  <dxfs count="1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C7CE"/>
      <color rgb="FF9C000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R65"/>
  <sheetViews>
    <sheetView tabSelected="1" workbookViewId="0">
      <selection activeCell="L17" sqref="L17"/>
    </sheetView>
  </sheetViews>
  <sheetFormatPr defaultRowHeight="15" x14ac:dyDescent="0.25"/>
  <cols>
    <col min="1" max="1" width="44.28515625" customWidth="1"/>
    <col min="2" max="9" width="12" customWidth="1"/>
    <col min="10" max="12" width="10.85546875" customWidth="1"/>
  </cols>
  <sheetData>
    <row r="1" spans="1:12" ht="23.25" x14ac:dyDescent="0.35">
      <c r="A1" s="22" t="s">
        <v>0</v>
      </c>
    </row>
    <row r="2" spans="1:12" ht="45" customHeight="1" x14ac:dyDescent="0.25">
      <c r="A2" s="120" t="s">
        <v>145</v>
      </c>
      <c r="B2" s="120"/>
      <c r="C2" s="120"/>
      <c r="D2" s="120"/>
      <c r="E2" s="120"/>
      <c r="F2" s="120"/>
      <c r="G2" s="120"/>
      <c r="H2" s="120"/>
      <c r="I2" s="120"/>
    </row>
    <row r="3" spans="1:12" s="23" customFormat="1" ht="15.75" x14ac:dyDescent="0.25"/>
    <row r="4" spans="1:12" ht="45" customHeight="1" x14ac:dyDescent="0.25">
      <c r="A4" s="21" t="s">
        <v>144</v>
      </c>
      <c r="B4" s="21"/>
      <c r="C4" s="21"/>
      <c r="D4" s="21"/>
      <c r="E4" s="21"/>
      <c r="F4" s="21"/>
      <c r="G4" s="21"/>
      <c r="H4" s="21"/>
      <c r="I4" s="21"/>
    </row>
    <row r="5" spans="1:12" s="45" customFormat="1" x14ac:dyDescent="0.25">
      <c r="A5" s="40"/>
      <c r="B5" s="41"/>
      <c r="C5" s="41"/>
      <c r="D5" s="41"/>
      <c r="E5" s="41"/>
      <c r="F5" s="42"/>
      <c r="G5" s="42"/>
      <c r="H5" s="42"/>
      <c r="I5" s="43"/>
      <c r="J5" s="44"/>
    </row>
    <row r="6" spans="1:12" ht="60" x14ac:dyDescent="0.25">
      <c r="A6" s="24" t="s">
        <v>41</v>
      </c>
      <c r="B6" s="27" t="s">
        <v>1</v>
      </c>
      <c r="C6" s="28"/>
      <c r="D6" s="28"/>
      <c r="E6" s="29"/>
      <c r="F6" s="25" t="s">
        <v>128</v>
      </c>
      <c r="G6" s="25" t="s">
        <v>129</v>
      </c>
      <c r="H6" s="25" t="s">
        <v>130</v>
      </c>
      <c r="I6" s="26" t="s">
        <v>45</v>
      </c>
      <c r="J6" s="3"/>
    </row>
    <row r="7" spans="1:12" x14ac:dyDescent="0.25">
      <c r="A7" s="98"/>
      <c r="B7" s="30" t="str">
        <f>IF(OR(A7=Sheet2!$A$2,A7=Sheet2!$A$4,A7=Sheet2!$A$5,A7=Sheet2!$A$6,A7=Sheet2!$A$13,A7=Sheet2!$A$14,A7=Sheet2!$A$15,A7=Sheet2!$A$38,A7=Sheet2!$A$40,A7=Sheet2!$A$41,A7=Sheet2!$A$42,A7=Sheet2!$A$43,A7=Sheet2!$A$44,A7=Sheet2!$A$45,A7=Sheet2!$A$46,A7=Sheet2!$A$47,A7=Sheet2!$A$48,A7=Sheet2!$A$49),Sheet2!$B$2,IF(OR(A7=Sheet2!$A$3,A7=Sheet2!$A$26,A7=Sheet2!$A$27),Sheet2!$B$3,IF(A7=Sheet2!$A$7,Sheet2!$B$7,IF(OR(A7=Sheet2!$A$8,A7=Sheet2!$A$9),Sheet2!$B$8,IF(A7=Sheet2!$A$10,Sheet2!$B$10,IF(OR(A7=Sheet2!$A$11,A7=Sheet2!$A$12),Sheet2!$B$11,IF(OR(A7=Sheet2!$A$16,A7=Sheet2!$A$17,A7=Sheet2!$A$39),Sheet2!$B$16,IF(OR(A7=Sheet2!$A$18),Sheet2!$B$18,IF(OR(A7=Sheet2!$A$19,A7=Sheet2!$A$20,A7=Sheet2!$A$22,A7=Sheet2!$A$24,A7=Sheet2!$A$25,A7=Sheet2!$A$28),Sheet2!$B$19,IF(OR(A7=Sheet2!$A$21),Sheet2!$B$21,IF(OR(A7=Sheet2!$A$23,A7=Sheet2!$A$31,A7=Sheet2!$A$32,A7=Sheet2!$A$33,A7=Sheet2!$A$34,A7=Sheet2!$A$35,A7=Sheet2!$A$36,A7=Sheet2!$A$37),Sheet2!$B$23,IF(OR(A7=Sheet2!$A$29,A7=Sheet2!$A$30),Sheet2!$B$29,""))))))))))))</f>
        <v/>
      </c>
      <c r="C7" s="30"/>
      <c r="D7" s="30"/>
      <c r="E7" s="30"/>
      <c r="F7" s="101"/>
      <c r="G7" s="102"/>
      <c r="H7" s="98"/>
      <c r="I7" s="31" t="str">
        <f>IF(B7=Sheet2!$B$2,0*G7,IF(B7=Sheet2!$B$3,"?",IF(B7=Sheet2!$B$7,H7*(0.000017*G7+(EXP(-15.49+1.59*LN(G7)))/2.414),IF(B7=Sheet2!$B$8,H7*(0.000017*G7+(EXP(-14.17+1.59*LN(G7)))/2.414),IF(B7=Sheet2!$B$10,H7*(0.000017*G7+(EXP(-16.14+1.59*LN(G7)))/2.414),IF(B7=Sheet2!$B$11,H7*(0.000017*G7+(EXP(-14.82+1.59*LN(G7)))/2.414),IF(B7=Sheet2!$B$16,H7*(Sheet2!$C$16*F7),IF(B7=Sheet2!$B$18,H7*(Sheet2!$C$18*G7),IF(B7=Sheet2!$B$19,H7*(Sheet2!$C$19*G7),IF(B7=Sheet2!$B$21,H7*(Sheet2!$C$21*G7),IF(B7=Sheet2!$B$23,H7*(Sheet2!$C$23*G7),IF(B7=Sheet2!$B$29,H7*(Sheet2!$C$29*G7),"?"))))))))))))</f>
        <v>?</v>
      </c>
      <c r="L7" s="14"/>
    </row>
    <row r="8" spans="1:12" x14ac:dyDescent="0.25">
      <c r="A8" s="99"/>
      <c r="B8" s="30" t="str">
        <f>IF(OR(A8=Sheet2!$A$2,A8=Sheet2!$A$4,A8=Sheet2!$A$5,A8=Sheet2!$A$6,A8=Sheet2!$A$13,A8=Sheet2!$A$14,A8=Sheet2!$A$15,A8=Sheet2!$A$38,A8=Sheet2!$A$40,A8=Sheet2!$A$41,A8=Sheet2!$A$42,A8=Sheet2!$A$43,A8=Sheet2!$A$44,A8=Sheet2!$A$45,A8=Sheet2!$A$46,A8=Sheet2!$A$47,A8=Sheet2!$A$48,A8=Sheet2!$A$49),Sheet2!$B$2,IF(OR(A8=Sheet2!$A$3,A8=Sheet2!$A$26,A8=Sheet2!$A$27),Sheet2!$B$3,IF(A8=Sheet2!$A$7,Sheet2!$B$7,IF(OR(A8=Sheet2!$A$8,A8=Sheet2!$A$9),Sheet2!$B$8,IF(A8=Sheet2!$A$10,Sheet2!$B$10,IF(OR(A8=Sheet2!$A$11,A8=Sheet2!$A$12),Sheet2!$B$11,IF(OR(A8=Sheet2!$A$16,A8=Sheet2!$A$17,A8=Sheet2!$A$39),Sheet2!$B$16,IF(OR(A8=Sheet2!$A$18),Sheet2!$B$18,IF(OR(A8=Sheet2!$A$19,A8=Sheet2!$A$20,A8=Sheet2!$A$22,A8=Sheet2!$A$24,A8=Sheet2!$A$25,A8=Sheet2!$A$28),Sheet2!$B$19,IF(OR(A8=Sheet2!$A$21),Sheet2!$B$21,IF(OR(A8=Sheet2!$A$23,A8=Sheet2!$A$31,A8=Sheet2!$A$32,A8=Sheet2!$A$33,A8=Sheet2!$A$34,A8=Sheet2!$A$35,A8=Sheet2!$A$36,A8=Sheet2!$A$37),Sheet2!$B$23,IF(OR(A8=Sheet2!$A$29,A8=Sheet2!$A$30),Sheet2!$B$29,""))))))))))))</f>
        <v/>
      </c>
      <c r="C8" s="30"/>
      <c r="D8" s="30"/>
      <c r="E8" s="30"/>
      <c r="F8" s="103"/>
      <c r="G8" s="104"/>
      <c r="H8" s="99"/>
      <c r="I8" s="31" t="str">
        <f>IF(B8=Sheet2!$B$2,0*G8,IF(B8=Sheet2!$B$3,"?",IF(B8=Sheet2!$B$7,H8*(0.000017*G8+(EXP(-15.49+1.59*LN(G8)))/2.414),IF(B8=Sheet2!$B$8,H8*(0.000017*G8+(EXP(-14.17+1.59*LN(G8)))/2.414),IF(B8=Sheet2!$B$10,H8*(0.000017*G8+(EXP(-16.14+1.59*LN(G8)))/2.414),IF(B8=Sheet2!$B$11,H8*(0.000017*G8+(EXP(-14.82+1.59*LN(G8)))/2.414),IF(B8=Sheet2!$B$16,H8*(Sheet2!$C$16*F8),IF(B8=Sheet2!$B$18,H8*(Sheet2!$C$18*G8),IF(B8=Sheet2!$B$19,H8*(Sheet2!$C$19*G8),IF(B8=Sheet2!$B$21,H8*(Sheet2!$C$21*G8),IF(B8=Sheet2!$B$23,H8*(Sheet2!$C$23*G8),IF(B8=Sheet2!$B$29,H8*(Sheet2!$C$29*G8),"?"))))))))))))</f>
        <v>?</v>
      </c>
    </row>
    <row r="9" spans="1:12" x14ac:dyDescent="0.25">
      <c r="A9" s="99"/>
      <c r="B9" s="30" t="str">
        <f>IF(OR(A9=Sheet2!$A$2,A9=Sheet2!$A$4,A9=Sheet2!$A$5,A9=Sheet2!$A$6,A9=Sheet2!$A$13,A9=Sheet2!$A$14,A9=Sheet2!$A$15,A9=Sheet2!$A$38,A9=Sheet2!$A$40,A9=Sheet2!$A$41,A9=Sheet2!$A$42,A9=Sheet2!$A$43,A9=Sheet2!$A$44,A9=Sheet2!$A$45,A9=Sheet2!$A$46,A9=Sheet2!$A$47,A9=Sheet2!$A$48,A9=Sheet2!$A$49),Sheet2!$B$2,IF(OR(A9=Sheet2!$A$3,A9=Sheet2!$A$26,A9=Sheet2!$A$27),Sheet2!$B$3,IF(A9=Sheet2!$A$7,Sheet2!$B$7,IF(OR(A9=Sheet2!$A$8,A9=Sheet2!$A$9),Sheet2!$B$8,IF(A9=Sheet2!$A$10,Sheet2!$B$10,IF(OR(A9=Sheet2!$A$11,A9=Sheet2!$A$12),Sheet2!$B$11,IF(OR(A9=Sheet2!$A$16,A9=Sheet2!$A$17,A9=Sheet2!$A$39),Sheet2!$B$16,IF(OR(A9=Sheet2!$A$18),Sheet2!$B$18,IF(OR(A9=Sheet2!$A$19,A9=Sheet2!$A$20,A9=Sheet2!$A$22,A9=Sheet2!$A$24,A9=Sheet2!$A$25,A9=Sheet2!$A$28),Sheet2!$B$19,IF(OR(A9=Sheet2!$A$21),Sheet2!$B$21,IF(OR(A9=Sheet2!$A$23,A9=Sheet2!$A$31,A9=Sheet2!$A$32,A9=Sheet2!$A$33,A9=Sheet2!$A$34,A9=Sheet2!$A$35,A9=Sheet2!$A$36,A9=Sheet2!$A$37),Sheet2!$B$23,IF(OR(A9=Sheet2!$A$29,A9=Sheet2!$A$30),Sheet2!$B$29,""))))))))))))</f>
        <v/>
      </c>
      <c r="C9" s="30"/>
      <c r="D9" s="30"/>
      <c r="E9" s="30"/>
      <c r="F9" s="103"/>
      <c r="G9" s="104"/>
      <c r="H9" s="99"/>
      <c r="I9" s="31" t="str">
        <f>IF(B9=Sheet2!$B$2,0*G9,IF(B9=Sheet2!$B$3,"?",IF(B9=Sheet2!$B$7,H9*(0.000017*G9+(EXP(-15.49+1.59*LN(G9)))/2.414),IF(B9=Sheet2!$B$8,H9*(0.000017*G9+(EXP(-14.17+1.59*LN(G9)))/2.414),IF(B9=Sheet2!$B$10,H9*(0.000017*G9+(EXP(-16.14+1.59*LN(G9)))/2.414),IF(B9=Sheet2!$B$11,H9*(0.000017*G9+(EXP(-14.82+1.59*LN(G9)))/2.414),IF(B9=Sheet2!$B$16,H9*(Sheet2!$C$16*F9),IF(B9=Sheet2!$B$18,H9*(Sheet2!$C$18*G9),IF(B9=Sheet2!$B$19,H9*(Sheet2!$C$19*G9),IF(B9=Sheet2!$B$21,H9*(Sheet2!$C$21*G9),IF(B9=Sheet2!$B$23,H9*(Sheet2!$C$23*G9),IF(B9=Sheet2!$B$29,H9*(Sheet2!$C$29*G9),"?"))))))))))))</f>
        <v>?</v>
      </c>
    </row>
    <row r="10" spans="1:12" x14ac:dyDescent="0.25">
      <c r="A10" s="99"/>
      <c r="B10" s="30" t="str">
        <f>IF(OR(A10=Sheet2!$A$2,A10=Sheet2!$A$4,A10=Sheet2!$A$5,A10=Sheet2!$A$6,A10=Sheet2!$A$13,A10=Sheet2!$A$14,A10=Sheet2!$A$15,A10=Sheet2!$A$38,A10=Sheet2!$A$40,A10=Sheet2!$A$41,A10=Sheet2!$A$42,A10=Sheet2!$A$43,A10=Sheet2!$A$44,A10=Sheet2!$A$45,A10=Sheet2!$A$46,A10=Sheet2!$A$47,A10=Sheet2!$A$48,A10=Sheet2!$A$49),Sheet2!$B$2,IF(OR(A10=Sheet2!$A$3,A10=Sheet2!$A$26,A10=Sheet2!$A$27),Sheet2!$B$3,IF(A10=Sheet2!$A$7,Sheet2!$B$7,IF(OR(A10=Sheet2!$A$8,A10=Sheet2!$A$9),Sheet2!$B$8,IF(A10=Sheet2!$A$10,Sheet2!$B$10,IF(OR(A10=Sheet2!$A$11,A10=Sheet2!$A$12),Sheet2!$B$11,IF(OR(A10=Sheet2!$A$16,A10=Sheet2!$A$17,A10=Sheet2!$A$39),Sheet2!$B$16,IF(OR(A10=Sheet2!$A$18),Sheet2!$B$18,IF(OR(A10=Sheet2!$A$19,A10=Sheet2!$A$20,A10=Sheet2!$A$22,A10=Sheet2!$A$24,A10=Sheet2!$A$25,A10=Sheet2!$A$28),Sheet2!$B$19,IF(OR(A10=Sheet2!$A$21),Sheet2!$B$21,IF(OR(A10=Sheet2!$A$23,A10=Sheet2!$A$31,A10=Sheet2!$A$32,A10=Sheet2!$A$33,A10=Sheet2!$A$34,A10=Sheet2!$A$35,A10=Sheet2!$A$36,A10=Sheet2!$A$37),Sheet2!$B$23,IF(OR(A10=Sheet2!$A$29,A10=Sheet2!$A$30),Sheet2!$B$29,""))))))))))))</f>
        <v/>
      </c>
      <c r="C10" s="30"/>
      <c r="D10" s="30"/>
      <c r="E10" s="30"/>
      <c r="F10" s="103"/>
      <c r="G10" s="104"/>
      <c r="H10" s="99"/>
      <c r="I10" s="31" t="str">
        <f>IF(B10=Sheet2!$B$2,0*G10,IF(B10=Sheet2!$B$3,"?",IF(B10=Sheet2!$B$7,H10*(0.000017*G10+(EXP(-15.49+1.59*LN(G10)))/2.414),IF(B10=Sheet2!$B$8,H10*(0.000017*G10+(EXP(-14.17+1.59*LN(G10)))/2.414),IF(B10=Sheet2!$B$10,H10*(0.000017*G10+(EXP(-16.14+1.59*LN(G10)))/2.414),IF(B10=Sheet2!$B$11,H10*(0.000017*G10+(EXP(-14.82+1.59*LN(G10)))/2.414),IF(B10=Sheet2!$B$16,H10*(Sheet2!$C$16*F10),IF(B10=Sheet2!$B$18,H10*(Sheet2!$C$18*G10),IF(B10=Sheet2!$B$19,H10*(Sheet2!$C$19*G10),IF(B10=Sheet2!$B$21,H10*(Sheet2!$C$21*G10),IF(B10=Sheet2!$B$23,H10*(Sheet2!$C$23*G10),IF(B10=Sheet2!$B$29,H10*(Sheet2!$C$29*G10),"?"))))))))))))</f>
        <v>?</v>
      </c>
    </row>
    <row r="11" spans="1:12" x14ac:dyDescent="0.25">
      <c r="A11" s="99"/>
      <c r="B11" s="30" t="str">
        <f>IF(OR(A11=Sheet2!$A$2,A11=Sheet2!$A$4,A11=Sheet2!$A$5,A11=Sheet2!$A$6,A11=Sheet2!$A$13,A11=Sheet2!$A$14,A11=Sheet2!$A$15,A11=Sheet2!$A$38,A11=Sheet2!$A$40,A11=Sheet2!$A$41,A11=Sheet2!$A$42,A11=Sheet2!$A$43,A11=Sheet2!$A$44,A11=Sheet2!$A$45,A11=Sheet2!$A$46,A11=Sheet2!$A$47,A11=Sheet2!$A$48,A11=Sheet2!$A$49),Sheet2!$B$2,IF(OR(A11=Sheet2!$A$3,A11=Sheet2!$A$26,A11=Sheet2!$A$27),Sheet2!$B$3,IF(A11=Sheet2!$A$7,Sheet2!$B$7,IF(OR(A11=Sheet2!$A$8,A11=Sheet2!$A$9),Sheet2!$B$8,IF(A11=Sheet2!$A$10,Sheet2!$B$10,IF(OR(A11=Sheet2!$A$11,A11=Sheet2!$A$12),Sheet2!$B$11,IF(OR(A11=Sheet2!$A$16,A11=Sheet2!$A$17,A11=Sheet2!$A$39),Sheet2!$B$16,IF(OR(A11=Sheet2!$A$18),Sheet2!$B$18,IF(OR(A11=Sheet2!$A$19,A11=Sheet2!$A$20,A11=Sheet2!$A$22,A11=Sheet2!$A$24,A11=Sheet2!$A$25,A11=Sheet2!$A$28),Sheet2!$B$19,IF(OR(A11=Sheet2!$A$21),Sheet2!$B$21,IF(OR(A11=Sheet2!$A$23,A11=Sheet2!$A$31,A11=Sheet2!$A$32,A11=Sheet2!$A$33,A11=Sheet2!$A$34,A11=Sheet2!$A$35,A11=Sheet2!$A$36,A11=Sheet2!$A$37),Sheet2!$B$23,IF(OR(A11=Sheet2!$A$29,A11=Sheet2!$A$30),Sheet2!$B$29,""))))))))))))</f>
        <v/>
      </c>
      <c r="C11" s="30"/>
      <c r="D11" s="30"/>
      <c r="E11" s="30"/>
      <c r="F11" s="103"/>
      <c r="G11" s="104"/>
      <c r="H11" s="99"/>
      <c r="I11" s="31" t="str">
        <f>IF(B11=Sheet2!$B$2,0*G11,IF(B11=Sheet2!$B$3,"?",IF(B11=Sheet2!$B$7,H11*(0.000017*G11+(EXP(-15.49+1.59*LN(G11)))/2.414),IF(B11=Sheet2!$B$8,H11*(0.000017*G11+(EXP(-14.17+1.59*LN(G11)))/2.414),IF(B11=Sheet2!$B$10,H11*(0.000017*G11+(EXP(-16.14+1.59*LN(G11)))/2.414),IF(B11=Sheet2!$B$11,H11*(0.000017*G11+(EXP(-14.82+1.59*LN(G11)))/2.414),IF(B11=Sheet2!$B$16,H11*(Sheet2!$C$16*F11),IF(B11=Sheet2!$B$18,H11*(Sheet2!$C$18*G11),IF(B11=Sheet2!$B$19,H11*(Sheet2!$C$19*G11),IF(B11=Sheet2!$B$21,H11*(Sheet2!$C$21*G11),IF(B11=Sheet2!$B$23,H11*(Sheet2!$C$23*G11),IF(B11=Sheet2!$B$29,H11*(Sheet2!$C$29*G11),"?"))))))))))))</f>
        <v>?</v>
      </c>
    </row>
    <row r="12" spans="1:12" x14ac:dyDescent="0.25">
      <c r="A12" s="99"/>
      <c r="B12" s="30" t="str">
        <f>IF(OR(A12=Sheet2!$A$2,A12=Sheet2!$A$4,A12=Sheet2!$A$5,A12=Sheet2!$A$6,A12=Sheet2!$A$13,A12=Sheet2!$A$14,A12=Sheet2!$A$15,A12=Sheet2!$A$38,A12=Sheet2!$A$40,A12=Sheet2!$A$41,A12=Sheet2!$A$42,A12=Sheet2!$A$43,A12=Sheet2!$A$44,A12=Sheet2!$A$45,A12=Sheet2!$A$46,A12=Sheet2!$A$47,A12=Sheet2!$A$48,A12=Sheet2!$A$49),Sheet2!$B$2,IF(OR(A12=Sheet2!$A$3,A12=Sheet2!$A$26,A12=Sheet2!$A$27),Sheet2!$B$3,IF(A12=Sheet2!$A$7,Sheet2!$B$7,IF(OR(A12=Sheet2!$A$8,A12=Sheet2!$A$9),Sheet2!$B$8,IF(A12=Sheet2!$A$10,Sheet2!$B$10,IF(OR(A12=Sheet2!$A$11,A12=Sheet2!$A$12),Sheet2!$B$11,IF(OR(A12=Sheet2!$A$16,A12=Sheet2!$A$17,A12=Sheet2!$A$39),Sheet2!$B$16,IF(OR(A12=Sheet2!$A$18),Sheet2!$B$18,IF(OR(A12=Sheet2!$A$19,A12=Sheet2!$A$20,A12=Sheet2!$A$22,A12=Sheet2!$A$24,A12=Sheet2!$A$25,A12=Sheet2!$A$28),Sheet2!$B$19,IF(OR(A12=Sheet2!$A$21),Sheet2!$B$21,IF(OR(A12=Sheet2!$A$23,A12=Sheet2!$A$31,A12=Sheet2!$A$32,A12=Sheet2!$A$33,A12=Sheet2!$A$34,A12=Sheet2!$A$35,A12=Sheet2!$A$36,A12=Sheet2!$A$37),Sheet2!$B$23,IF(OR(A12=Sheet2!$A$29,A12=Sheet2!$A$30),Sheet2!$B$29,""))))))))))))</f>
        <v/>
      </c>
      <c r="C12" s="30"/>
      <c r="D12" s="30"/>
      <c r="E12" s="30"/>
      <c r="F12" s="103"/>
      <c r="G12" s="104"/>
      <c r="H12" s="99"/>
      <c r="I12" s="31" t="str">
        <f>IF(B12=Sheet2!$B$2,0*G12,IF(B12=Sheet2!$B$3,"?",IF(B12=Sheet2!$B$7,H12*(0.000017*G12+(EXP(-15.49+1.59*LN(G12)))/2.414),IF(B12=Sheet2!$B$8,H12*(0.000017*G12+(EXP(-14.17+1.59*LN(G12)))/2.414),IF(B12=Sheet2!$B$10,H12*(0.000017*G12+(EXP(-16.14+1.59*LN(G12)))/2.414),IF(B12=Sheet2!$B$11,H12*(0.000017*G12+(EXP(-14.82+1.59*LN(G12)))/2.414),IF(B12=Sheet2!$B$16,H12*(Sheet2!$C$16*F12),IF(B12=Sheet2!$B$18,H12*(Sheet2!$C$18*G12),IF(B12=Sheet2!$B$19,H12*(Sheet2!$C$19*G12),IF(B12=Sheet2!$B$21,H12*(Sheet2!$C$21*G12),IF(B12=Sheet2!$B$23,H12*(Sheet2!$C$23*G12),IF(B12=Sheet2!$B$29,H12*(Sheet2!$C$29*G12),"?"))))))))))))</f>
        <v>?</v>
      </c>
    </row>
    <row r="13" spans="1:12" x14ac:dyDescent="0.25">
      <c r="A13" s="99"/>
      <c r="B13" s="30" t="str">
        <f>IF(OR(A13=Sheet2!$A$2,A13=Sheet2!$A$4,A13=Sheet2!$A$5,A13=Sheet2!$A$6,A13=Sheet2!$A$13,A13=Sheet2!$A$14,A13=Sheet2!$A$15,A13=Sheet2!$A$38,A13=Sheet2!$A$40,A13=Sheet2!$A$41,A13=Sheet2!$A$42,A13=Sheet2!$A$43,A13=Sheet2!$A$44,A13=Sheet2!$A$45,A13=Sheet2!$A$46,A13=Sheet2!$A$47,A13=Sheet2!$A$48,A13=Sheet2!$A$49),Sheet2!$B$2,IF(OR(A13=Sheet2!$A$3,A13=Sheet2!$A$26,A13=Sheet2!$A$27),Sheet2!$B$3,IF(A13=Sheet2!$A$7,Sheet2!$B$7,IF(OR(A13=Sheet2!$A$8,A13=Sheet2!$A$9),Sheet2!$B$8,IF(A13=Sheet2!$A$10,Sheet2!$B$10,IF(OR(A13=Sheet2!$A$11,A13=Sheet2!$A$12),Sheet2!$B$11,IF(OR(A13=Sheet2!$A$16,A13=Sheet2!$A$17,A13=Sheet2!$A$39),Sheet2!$B$16,IF(OR(A13=Sheet2!$A$18),Sheet2!$B$18,IF(OR(A13=Sheet2!$A$19,A13=Sheet2!$A$20,A13=Sheet2!$A$22,A13=Sheet2!$A$24,A13=Sheet2!$A$25,A13=Sheet2!$A$28),Sheet2!$B$19,IF(OR(A13=Sheet2!$A$21),Sheet2!$B$21,IF(OR(A13=Sheet2!$A$23,A13=Sheet2!$A$31,A13=Sheet2!$A$32,A13=Sheet2!$A$33,A13=Sheet2!$A$34,A13=Sheet2!$A$35,A13=Sheet2!$A$36,A13=Sheet2!$A$37),Sheet2!$B$23,IF(OR(A13=Sheet2!$A$29,A13=Sheet2!$A$30),Sheet2!$B$29,""))))))))))))</f>
        <v/>
      </c>
      <c r="C13" s="30"/>
      <c r="D13" s="30"/>
      <c r="E13" s="30"/>
      <c r="F13" s="103"/>
      <c r="G13" s="104"/>
      <c r="H13" s="99"/>
      <c r="I13" s="31" t="str">
        <f>IF(B13=Sheet2!$B$2,0*G13,IF(B13=Sheet2!$B$3,"?",IF(B13=Sheet2!$B$7,H13*(0.000017*G13+(EXP(-15.49+1.59*LN(G13)))/2.414),IF(B13=Sheet2!$B$8,H13*(0.000017*G13+(EXP(-14.17+1.59*LN(G13)))/2.414),IF(B13=Sheet2!$B$10,H13*(0.000017*G13+(EXP(-16.14+1.59*LN(G13)))/2.414),IF(B13=Sheet2!$B$11,H13*(0.000017*G13+(EXP(-14.82+1.59*LN(G13)))/2.414),IF(B13=Sheet2!$B$16,H13*(Sheet2!$C$16*F13),IF(B13=Sheet2!$B$18,H13*(Sheet2!$C$18*G13),IF(B13=Sheet2!$B$19,H13*(Sheet2!$C$19*G13),IF(B13=Sheet2!$B$21,H13*(Sheet2!$C$21*G13),IF(B13=Sheet2!$B$23,H13*(Sheet2!$C$23*G13),IF(B13=Sheet2!$B$29,H13*(Sheet2!$C$29*G13),"?"))))))))))))</f>
        <v>?</v>
      </c>
    </row>
    <row r="14" spans="1:12" x14ac:dyDescent="0.25">
      <c r="A14" s="99"/>
      <c r="B14" s="30" t="str">
        <f>IF(OR(A14=Sheet2!$A$2,A14=Sheet2!$A$4,A14=Sheet2!$A$5,A14=Sheet2!$A$6,A14=Sheet2!$A$13,A14=Sheet2!$A$14,A14=Sheet2!$A$15,A14=Sheet2!$A$38,A14=Sheet2!$A$40,A14=Sheet2!$A$41,A14=Sheet2!$A$42,A14=Sheet2!$A$43,A14=Sheet2!$A$44,A14=Sheet2!$A$45,A14=Sheet2!$A$46,A14=Sheet2!$A$47,A14=Sheet2!$A$48,A14=Sheet2!$A$49),Sheet2!$B$2,IF(OR(A14=Sheet2!$A$3,A14=Sheet2!$A$26,A14=Sheet2!$A$27),Sheet2!$B$3,IF(A14=Sheet2!$A$7,Sheet2!$B$7,IF(OR(A14=Sheet2!$A$8,A14=Sheet2!$A$9),Sheet2!$B$8,IF(A14=Sheet2!$A$10,Sheet2!$B$10,IF(OR(A14=Sheet2!$A$11,A14=Sheet2!$A$12),Sheet2!$B$11,IF(OR(A14=Sheet2!$A$16,A14=Sheet2!$A$17,A14=Sheet2!$A$39),Sheet2!$B$16,IF(OR(A14=Sheet2!$A$18),Sheet2!$B$18,IF(OR(A14=Sheet2!$A$19,A14=Sheet2!$A$20,A14=Sheet2!$A$22,A14=Sheet2!$A$24,A14=Sheet2!$A$25,A14=Sheet2!$A$28),Sheet2!$B$19,IF(OR(A14=Sheet2!$A$21),Sheet2!$B$21,IF(OR(A14=Sheet2!$A$23,A14=Sheet2!$A$31,A14=Sheet2!$A$32,A14=Sheet2!$A$33,A14=Sheet2!$A$34,A14=Sheet2!$A$35,A14=Sheet2!$A$36,A14=Sheet2!$A$37),Sheet2!$B$23,IF(OR(A14=Sheet2!$A$29,A14=Sheet2!$A$30),Sheet2!$B$29,""))))))))))))</f>
        <v/>
      </c>
      <c r="C14" s="30"/>
      <c r="D14" s="30"/>
      <c r="E14" s="30"/>
      <c r="F14" s="103"/>
      <c r="G14" s="104"/>
      <c r="H14" s="99"/>
      <c r="I14" s="31" t="str">
        <f>IF(B14=Sheet2!$B$2,0*G14,IF(B14=Sheet2!$B$3,"?",IF(B14=Sheet2!$B$7,H14*(0.000017*G14+(EXP(-15.49+1.59*LN(G14)))/2.414),IF(B14=Sheet2!$B$8,H14*(0.000017*G14+(EXP(-14.17+1.59*LN(G14)))/2.414),IF(B14=Sheet2!$B$10,H14*(0.000017*G14+(EXP(-16.14+1.59*LN(G14)))/2.414),IF(B14=Sheet2!$B$11,H14*(0.000017*G14+(EXP(-14.82+1.59*LN(G14)))/2.414),IF(B14=Sheet2!$B$16,H14*(Sheet2!$C$16*F14),IF(B14=Sheet2!$B$18,H14*(Sheet2!$C$18*G14),IF(B14=Sheet2!$B$19,H14*(Sheet2!$C$19*G14),IF(B14=Sheet2!$B$21,H14*(Sheet2!$C$21*G14),IF(B14=Sheet2!$B$23,H14*(Sheet2!$C$23*G14),IF(B14=Sheet2!$B$29,H14*(Sheet2!$C$29*G14),"?"))))))))))))</f>
        <v>?</v>
      </c>
    </row>
    <row r="15" spans="1:12" x14ac:dyDescent="0.25">
      <c r="A15" s="99"/>
      <c r="B15" s="30" t="str">
        <f>IF(OR(A15=Sheet2!$A$2,A15=Sheet2!$A$4,A15=Sheet2!$A$5,A15=Sheet2!$A$6,A15=Sheet2!$A$13,A15=Sheet2!$A$14,A15=Sheet2!$A$15,A15=Sheet2!$A$38,A15=Sheet2!$A$40,A15=Sheet2!$A$41,A15=Sheet2!$A$42,A15=Sheet2!$A$43,A15=Sheet2!$A$44,A15=Sheet2!$A$45,A15=Sheet2!$A$46,A15=Sheet2!$A$47,A15=Sheet2!$A$48,A15=Sheet2!$A$49),Sheet2!$B$2,IF(OR(A15=Sheet2!$A$3,A15=Sheet2!$A$26,A15=Sheet2!$A$27),Sheet2!$B$3,IF(A15=Sheet2!$A$7,Sheet2!$B$7,IF(OR(A15=Sheet2!$A$8,A15=Sheet2!$A$9),Sheet2!$B$8,IF(A15=Sheet2!$A$10,Sheet2!$B$10,IF(OR(A15=Sheet2!$A$11,A15=Sheet2!$A$12),Sheet2!$B$11,IF(OR(A15=Sheet2!$A$16,A15=Sheet2!$A$17,A15=Sheet2!$A$39),Sheet2!$B$16,IF(OR(A15=Sheet2!$A$18),Sheet2!$B$18,IF(OR(A15=Sheet2!$A$19,A15=Sheet2!$A$20,A15=Sheet2!$A$22,A15=Sheet2!$A$24,A15=Sheet2!$A$25,A15=Sheet2!$A$28),Sheet2!$B$19,IF(OR(A15=Sheet2!$A$21),Sheet2!$B$21,IF(OR(A15=Sheet2!$A$23,A15=Sheet2!$A$31,A15=Sheet2!$A$32,A15=Sheet2!$A$33,A15=Sheet2!$A$34,A15=Sheet2!$A$35,A15=Sheet2!$A$36,A15=Sheet2!$A$37),Sheet2!$B$23,IF(OR(A15=Sheet2!$A$29,A15=Sheet2!$A$30),Sheet2!$B$29,""))))))))))))</f>
        <v/>
      </c>
      <c r="C15" s="30"/>
      <c r="D15" s="30"/>
      <c r="E15" s="30"/>
      <c r="F15" s="103"/>
      <c r="G15" s="104"/>
      <c r="H15" s="99"/>
      <c r="I15" s="31" t="str">
        <f>IF(B15=Sheet2!$B$2,0*G15,IF(B15=Sheet2!$B$3,"?",IF(B15=Sheet2!$B$7,H15*(0.000017*G15+(EXP(-15.49+1.59*LN(G15)))/2.414),IF(B15=Sheet2!$B$8,H15*(0.000017*G15+(EXP(-14.17+1.59*LN(G15)))/2.414),IF(B15=Sheet2!$B$10,H15*(0.000017*G15+(EXP(-16.14+1.59*LN(G15)))/2.414),IF(B15=Sheet2!$B$11,H15*(0.000017*G15+(EXP(-14.82+1.59*LN(G15)))/2.414),IF(B15=Sheet2!$B$16,H15*(Sheet2!$C$16*F15),IF(B15=Sheet2!$B$18,H15*(Sheet2!$C$18*G15),IF(B15=Sheet2!$B$19,H15*(Sheet2!$C$19*G15),IF(B15=Sheet2!$B$21,H15*(Sheet2!$C$21*G15),IF(B15=Sheet2!$B$23,H15*(Sheet2!$C$23*G15),IF(B15=Sheet2!$B$29,H15*(Sheet2!$C$29*G15),"?"))))))))))))</f>
        <v>?</v>
      </c>
    </row>
    <row r="16" spans="1:12" ht="15.75" thickBot="1" x14ac:dyDescent="0.3">
      <c r="A16" s="100"/>
      <c r="B16" s="30" t="str">
        <f>IF(OR(A16=Sheet2!$A$2,A16=Sheet2!$A$4,A16=Sheet2!$A$5,A16=Sheet2!$A$6,A16=Sheet2!$A$13,A16=Sheet2!$A$14,A16=Sheet2!$A$15,A16=Sheet2!$A$38,A16=Sheet2!$A$40,A16=Sheet2!$A$41,A16=Sheet2!$A$42,A16=Sheet2!$A$43,A16=Sheet2!$A$44,A16=Sheet2!$A$45,A16=Sheet2!$A$46,A16=Sheet2!$A$47,A16=Sheet2!$A$48,A16=Sheet2!$A$49),Sheet2!$B$2,IF(OR(A16=Sheet2!$A$3,A16=Sheet2!$A$26,A16=Sheet2!$A$27),Sheet2!$B$3,IF(A16=Sheet2!$A$7,Sheet2!$B$7,IF(OR(A16=Sheet2!$A$8,A16=Sheet2!$A$9),Sheet2!$B$8,IF(A16=Sheet2!$A$10,Sheet2!$B$10,IF(OR(A16=Sheet2!$A$11,A16=Sheet2!$A$12),Sheet2!$B$11,IF(OR(A16=Sheet2!$A$16,A16=Sheet2!$A$17,A16=Sheet2!$A$39),Sheet2!$B$16,IF(OR(A16=Sheet2!$A$18),Sheet2!$B$18,IF(OR(A16=Sheet2!$A$19,A16=Sheet2!$A$20,A16=Sheet2!$A$22,A16=Sheet2!$A$24,A16=Sheet2!$A$25,A16=Sheet2!$A$28),Sheet2!$B$19,IF(OR(A16=Sheet2!$A$21),Sheet2!$B$21,IF(OR(A16=Sheet2!$A$23,A16=Sheet2!$A$31,A16=Sheet2!$A$32,A16=Sheet2!$A$33,A16=Sheet2!$A$34,A16=Sheet2!$A$35,A16=Sheet2!$A$36,A16=Sheet2!$A$37),Sheet2!$B$23,IF(OR(A16=Sheet2!$A$29,A16=Sheet2!$A$30),Sheet2!$B$29,""))))))))))))</f>
        <v/>
      </c>
      <c r="C16" s="30"/>
      <c r="D16" s="30"/>
      <c r="E16" s="30"/>
      <c r="F16" s="105"/>
      <c r="G16" s="106"/>
      <c r="H16" s="100"/>
      <c r="I16" s="34" t="str">
        <f>IF(B16=Sheet2!$B$2,0*G16,IF(B16=Sheet2!$B$3,"?",IF(B16=Sheet2!$B$7,H16*(0.000017*G16+(EXP(-15.49+1.59*LN(G16)))/2.414),IF(B16=Sheet2!$B$8,H16*(0.000017*G16+(EXP(-14.17+1.59*LN(G16)))/2.414),IF(B16=Sheet2!$B$10,H16*(0.000017*G16+(EXP(-16.14+1.59*LN(G16)))/2.414),IF(B16=Sheet2!$B$11,H16*(0.000017*G16+(EXP(-14.82+1.59*LN(G16)))/2.414),IF(B16=Sheet2!$B$16,H16*(Sheet2!$C$16*F16),IF(B16=Sheet2!$B$18,H16*(Sheet2!$C$18*G16),IF(B16=Sheet2!$B$19,H16*(Sheet2!$C$19*G16),IF(B16=Sheet2!$B$21,H16*(Sheet2!$C$21*G16),IF(B16=Sheet2!$B$23,H16*(Sheet2!$C$23*G16),IF(B16=Sheet2!$B$29,H16*(Sheet2!$C$29*G16),"?"))))))))))))</f>
        <v>?</v>
      </c>
    </row>
    <row r="17" spans="1:9" ht="15.75" thickBot="1" x14ac:dyDescent="0.3">
      <c r="A17" s="32" t="s">
        <v>46</v>
      </c>
      <c r="B17" s="32"/>
      <c r="C17" s="32"/>
      <c r="D17" s="32"/>
      <c r="E17" s="32"/>
      <c r="F17" s="24">
        <f>SUM(F7:F16)</f>
        <v>0</v>
      </c>
      <c r="G17" s="24">
        <f t="shared" ref="G17:H17" si="0">SUM(G7:G16)</f>
        <v>0</v>
      </c>
      <c r="H17" s="24">
        <f t="shared" si="0"/>
        <v>0</v>
      </c>
      <c r="I17" s="64">
        <f>SUM(I7:I16)</f>
        <v>0</v>
      </c>
    </row>
    <row r="19" spans="1:9" ht="60" customHeight="1" x14ac:dyDescent="0.25">
      <c r="A19" s="21" t="s">
        <v>134</v>
      </c>
      <c r="B19" s="21"/>
      <c r="C19" s="21"/>
      <c r="D19" s="21"/>
      <c r="E19" s="21"/>
      <c r="F19" s="21"/>
      <c r="G19" s="21"/>
      <c r="H19" s="21"/>
      <c r="I19" s="21"/>
    </row>
    <row r="20" spans="1:9" s="45" customFormat="1" x14ac:dyDescent="0.25">
      <c r="A20" s="41"/>
      <c r="B20" s="41"/>
      <c r="C20" s="41"/>
      <c r="D20" s="41"/>
      <c r="E20" s="40"/>
      <c r="F20" s="40"/>
      <c r="G20" s="40"/>
      <c r="H20" s="40"/>
      <c r="I20" s="40"/>
    </row>
    <row r="21" spans="1:9" x14ac:dyDescent="0.25">
      <c r="A21" s="35" t="s">
        <v>59</v>
      </c>
      <c r="B21" s="35"/>
      <c r="C21" s="35"/>
      <c r="D21" s="35"/>
      <c r="E21" s="24" t="s">
        <v>120</v>
      </c>
      <c r="F21" s="24" t="s">
        <v>69</v>
      </c>
      <c r="G21" s="24" t="s">
        <v>114</v>
      </c>
      <c r="H21" s="24" t="s">
        <v>119</v>
      </c>
      <c r="I21" s="24"/>
    </row>
    <row r="22" spans="1:9" x14ac:dyDescent="0.25">
      <c r="A22" s="36" t="s">
        <v>55</v>
      </c>
      <c r="B22" s="36"/>
      <c r="C22" s="36"/>
      <c r="D22" s="36"/>
      <c r="E22" s="37">
        <f>IF(TRUNC($I$17)/8-TRUNC(TRUNC($I$17)/8)=0.125,TRUNC(TRUNC($I$17)/8)*3+0,IF(TRUNC($I$17)/8-TRUNC(TRUNC($I$17)/8)=0.25,TRUNC(TRUNC($I$17)/8)*3+0+$I$17-TRUNC($I$17),IF(TRUNC($I$17)/8-TRUNC(TRUNC($I$17)/8)=0.375,TRUNC(TRUNC($I$17)/8)*3+1+$I$17-TRUNC($I$17),IF(TRUNC($I$17)/8-TRUNC(TRUNC($I$17)/8)=0.5,TRUNC(TRUNC($I$17)/8)*3+2,IF(TRUNC($I$17)/8-TRUNC(TRUNC($I$17)/8)=0.625,TRUNC(TRUNC($I$17)/8)*3+2,IF(TRUNC($I$17)/8-TRUNC(TRUNC($I$17)/8)=0.75,TRUNC(TRUNC($I$17)/8)*3+2+$I$17-TRUNC($I$17),IF(TRUNC($I$17)/8-TRUNC(TRUNC($I$17)/8)=0.875,TRUNC(TRUNC($I$17)/8)*3+3,IF(TRUNC($I$17)/8-TRUNC(TRUNC($I$17)/8)=0,(TRUNC(TRUNC($I$17)/8)-1)*3+3,))))))))</f>
        <v>0</v>
      </c>
      <c r="F22" s="107">
        <f t="shared" ref="F22:F25" si="1">E22</f>
        <v>0</v>
      </c>
      <c r="G22" s="38" t="e">
        <f>F22/SUM(F$22:F$25)</f>
        <v>#DIV/0!</v>
      </c>
      <c r="H22" s="39" t="s">
        <v>115</v>
      </c>
      <c r="I22" s="39"/>
    </row>
    <row r="23" spans="1:9" x14ac:dyDescent="0.25">
      <c r="A23" s="36" t="s">
        <v>56</v>
      </c>
      <c r="B23" s="36"/>
      <c r="C23" s="36"/>
      <c r="D23" s="36"/>
      <c r="E23" s="37">
        <f>IF(TRUNC($I$17)/8-TRUNC(TRUNC($I$17)/8)=0.125,TRUNC(TRUNC($I$17)/8)*2+1,IF(TRUNC($I$17)/8-TRUNC(TRUNC($I$17)/8)=0.25,TRUNC(TRUNC($I$17)/8)*2+1,IF(TRUNC($I$17)/8-TRUNC(TRUNC($I$17)/8)=0.375,TRUNC(TRUNC($I$17)/8)*2+1,IF(TRUNC($I$17)/8-TRUNC(TRUNC($I$17)/8)=0.5,TRUNC(TRUNC($I$17)/8)*2+1+$I$17-TRUNC($I$17),IF(TRUNC($I$17)/8-TRUNC(TRUNC($I$17)/8)=0.625,TRUNC(TRUNC($I$17)/8)*2+2,IF(TRUNC($I$17)/8-TRUNC(TRUNC($I$17)/8)=0.75,TRUNC(TRUNC($I$17)/8)*2+2,IF(TRUNC($I$17)/8-TRUNC(TRUNC($I$17)/8)=0.875,TRUNC(TRUNC($I$17)/8)*2+2,IF(TRUNC($I$17)/8-TRUNC(TRUNC($I$17)/8)=0,(TRUNC(TRUNC($I$17)/8)-1)*2+2+$I$17-TRUNC($I$17),))))))))</f>
        <v>0</v>
      </c>
      <c r="F23" s="107">
        <f t="shared" si="1"/>
        <v>0</v>
      </c>
      <c r="G23" s="38" t="e">
        <f>F23/SUM(F$22:F$25)</f>
        <v>#DIV/0!</v>
      </c>
      <c r="H23" s="39" t="s">
        <v>116</v>
      </c>
      <c r="I23" s="39"/>
    </row>
    <row r="24" spans="1:9" x14ac:dyDescent="0.25">
      <c r="A24" s="36" t="s">
        <v>57</v>
      </c>
      <c r="B24" s="36"/>
      <c r="C24" s="36"/>
      <c r="D24" s="36"/>
      <c r="E24" s="37">
        <f>IF(TRUNC($I$17)/8-TRUNC(TRUNC($I$17)/8)=0.125,TRUNC(TRUNC($I$17)/8)*2+0+$I$17-TRUNC($I$17),IF(TRUNC($I$17)/8-TRUNC(TRUNC($I$17)/8)=0.25,TRUNC(TRUNC($I$17)/8)*2+1,IF(TRUNC($I$17)/8-TRUNC(TRUNC($I$17)/8)=0.375,TRUNC(TRUNC($I$17)/8)*2+1,IF(TRUNC($I$17)/8-TRUNC(TRUNC($I$17)/8)=0.5,TRUNC(TRUNC($I$17)/8)*2+1,IF(TRUNC($I$17)/8-TRUNC(TRUNC($I$17)/8)=0.625,TRUNC(TRUNC($I$17)/8)*2+1+$I$17-TRUNC($I$17),IF(TRUNC($I$17)/8-TRUNC(TRUNC($I$17)/8)=0.75,TRUNC(TRUNC($I$17)/8)*2+2,IF(TRUNC($I$17)/8-TRUNC(TRUNC($I$17)/8)=0.875,TRUNC(TRUNC($I$17)/8)*2+2,IF(TRUNC($I$17)/8-TRUNC(TRUNC($I$17)/8)=0,(TRUNC(TRUNC($I$17)/8)-1)*2+2,))))))))</f>
        <v>0</v>
      </c>
      <c r="F24" s="107">
        <f t="shared" si="1"/>
        <v>0</v>
      </c>
      <c r="G24" s="38" t="e">
        <f>F24/SUM(F$22:F$25)</f>
        <v>#DIV/0!</v>
      </c>
      <c r="H24" s="39" t="s">
        <v>117</v>
      </c>
      <c r="I24" s="39"/>
    </row>
    <row r="25" spans="1:9" x14ac:dyDescent="0.25">
      <c r="A25" s="65" t="s">
        <v>58</v>
      </c>
      <c r="B25" s="65"/>
      <c r="C25" s="65"/>
      <c r="D25" s="65"/>
      <c r="E25" s="66">
        <f>IF(TRUNC($I$17)/8-TRUNC(TRUNC($I$17)/8)=0.125,TRUNC(TRUNC($I$17)/8)*1+0,IF(TRUNC($I$17)/8-TRUNC(TRUNC($I$17)/8)=0.25,TRUNC(TRUNC($I$17)/8)*1+0,IF(TRUNC($I$17)/8-TRUNC(TRUNC($I$17)/8)=0.375,TRUNC(TRUNC($I$17)/8)*1+0,IF(TRUNC($I$17)/8-TRUNC(TRUNC($I$17)/8)=0.5,TRUNC(TRUNC($I$17)/8)*1+0,IF(TRUNC($I$17)/8-TRUNC(TRUNC($I$17)/8)=0.625,TRUNC(TRUNC($I$17)/8)*1+0,IF(TRUNC($I$17)/8-TRUNC(TRUNC($I$17)/8)=0.75,TRUNC(TRUNC($I$17)/8)*1+0,IF(TRUNC($I$17)/8-TRUNC(TRUNC($I$17)/8)=0.875,TRUNC(TRUNC($I$17)/8)*1+0+$I$17-TRUNC($I$17),IF(TRUNC($I$17)/8-TRUNC(TRUNC($I$17)/8)=0,(TRUNC(TRUNC($I$17)/8)-1)*1+1,))))))))</f>
        <v>0</v>
      </c>
      <c r="F25" s="107">
        <f t="shared" si="1"/>
        <v>0</v>
      </c>
      <c r="G25" s="67" t="e">
        <f>F25/SUM(F$22:F$25)</f>
        <v>#DIV/0!</v>
      </c>
      <c r="H25" s="68" t="s">
        <v>118</v>
      </c>
      <c r="I25" s="68"/>
    </row>
    <row r="26" spans="1:9" x14ac:dyDescent="0.25">
      <c r="A26" s="57" t="s">
        <v>46</v>
      </c>
      <c r="B26" s="57"/>
      <c r="C26" s="57"/>
      <c r="D26" s="57"/>
      <c r="E26" s="49">
        <f>SUM(E22:E25)</f>
        <v>0</v>
      </c>
      <c r="F26" s="49">
        <f>SUM(F22:F25)</f>
        <v>0</v>
      </c>
      <c r="G26" s="27" t="s">
        <v>131</v>
      </c>
      <c r="H26" s="28"/>
      <c r="I26" s="29"/>
    </row>
    <row r="27" spans="1:9" x14ac:dyDescent="0.25">
      <c r="E27" s="14"/>
      <c r="F27" s="14"/>
    </row>
    <row r="28" spans="1:9" ht="45" x14ac:dyDescent="0.25">
      <c r="A28" s="24" t="s">
        <v>68</v>
      </c>
      <c r="B28" s="24" t="s">
        <v>121</v>
      </c>
      <c r="C28" s="24" t="s">
        <v>60</v>
      </c>
      <c r="D28" s="24" t="s">
        <v>61</v>
      </c>
      <c r="E28" s="49" t="s">
        <v>133</v>
      </c>
      <c r="F28" s="71" t="s">
        <v>122</v>
      </c>
      <c r="G28" s="27" t="s">
        <v>123</v>
      </c>
      <c r="H28" s="28"/>
      <c r="I28" s="29"/>
    </row>
    <row r="29" spans="1:9" x14ac:dyDescent="0.25">
      <c r="A29" s="46" t="s">
        <v>120</v>
      </c>
      <c r="B29" s="37">
        <f>IF(TRUNC($I$17)/4-TRUNC(TRUNC($I$17)/4)=0.25,TRUNC(TRUNC($I$17)/4)*1+0,IF(TRUNC($I$17)/4-TRUNC(TRUNC($I$17)/4)=0.5,TRUNC(TRUNC($I$17)/4)*1+0,IF(TRUNC($I$17)/4-TRUNC(TRUNC($I$17)/4)=0.75,TRUNC(TRUNC($I$17)/4)*1+0+$I$17-TRUNC($I$17),IF(TRUNC($I$17)/4-TRUNC(TRUNC($I$17)/4)=0,(TRUNC(TRUNC($I$17)/4)-1)*1+1,))))</f>
        <v>0</v>
      </c>
      <c r="C29" s="37">
        <f>IF(TRUNC($I$17)/4-TRUNC(TRUNC($I$17)/4)=0.25,TRUNC(TRUNC($I$17)/4)*2+1+$I$17-TRUNC($I$17),IF(TRUNC($I$17)/4-TRUNC(TRUNC($I$17)/4)=0.5,TRUNC(TRUNC($I$17)/4)*2+2,IF(TRUNC($I$17)/4-TRUNC(TRUNC($I$17)/4)=0.75,TRUNC(TRUNC($I$17)/4)*2+2,IF(TRUNC($I$17)/4-TRUNC(TRUNC($I$17)/4)=0,(TRUNC(TRUNC($I$17)/4)-1)*2+2+$I$17-TRUNC($I$17),))))</f>
        <v>0</v>
      </c>
      <c r="D29" s="47">
        <f>IF(TRUNC($I$17)/4-TRUNC(TRUNC($I$17)/4)=0.25,TRUNC(TRUNC($I$17)/4)*1+0,IF(TRUNC($I$17)/4-TRUNC(TRUNC($I$17)/4)=0.5,TRUNC(TRUNC($I$17)/4)*1+0+$I$17-TRUNC($I$17),IF(TRUNC($I$17)/4-TRUNC(TRUNC($I$17)/4)=0.75,TRUNC(TRUNC($I$17)/4)*1+1,IF(TRUNC($I$17)/4-TRUNC(TRUNC($I$17)/4)=0,(TRUNC(TRUNC($I$17)/4)-1)*1+1,))))</f>
        <v>0</v>
      </c>
      <c r="E29" s="37">
        <f>SUM(B29:D29)</f>
        <v>0</v>
      </c>
      <c r="F29" s="69">
        <f>I17*E31</f>
        <v>0</v>
      </c>
      <c r="G29" s="50" t="s">
        <v>132</v>
      </c>
      <c r="H29" s="51"/>
      <c r="I29" s="52"/>
    </row>
    <row r="30" spans="1:9" ht="15" customHeight="1" x14ac:dyDescent="0.25">
      <c r="A30" s="46" t="s">
        <v>127</v>
      </c>
      <c r="B30" s="108">
        <f>B29</f>
        <v>0</v>
      </c>
      <c r="C30" s="109">
        <f>C29</f>
        <v>0</v>
      </c>
      <c r="D30" s="110">
        <f>D29</f>
        <v>0</v>
      </c>
      <c r="E30" s="37">
        <f>SUM(B30:D30)</f>
        <v>0</v>
      </c>
      <c r="F30" s="69">
        <f>B30*B31+C30*C31+D30*D31</f>
        <v>0</v>
      </c>
      <c r="G30" s="53"/>
      <c r="H30" s="54"/>
      <c r="I30" s="55"/>
    </row>
    <row r="31" spans="1:9" x14ac:dyDescent="0.25">
      <c r="A31" s="56" t="s">
        <v>124</v>
      </c>
      <c r="B31" s="24">
        <v>1.45</v>
      </c>
      <c r="C31" s="24">
        <v>1.85</v>
      </c>
      <c r="D31" s="33">
        <v>2.1</v>
      </c>
      <c r="E31" s="70">
        <v>1.8</v>
      </c>
      <c r="F31" s="70"/>
      <c r="G31" s="58"/>
      <c r="H31" s="59"/>
      <c r="I31" s="60"/>
    </row>
    <row r="32" spans="1:9" x14ac:dyDescent="0.25">
      <c r="D32" s="5"/>
    </row>
    <row r="33" spans="1:18" ht="45" customHeight="1" x14ac:dyDescent="0.25">
      <c r="A33" s="61" t="s">
        <v>135</v>
      </c>
      <c r="B33" s="61"/>
      <c r="C33" s="61"/>
      <c r="D33" s="61"/>
      <c r="E33" s="61"/>
      <c r="F33" s="61"/>
      <c r="G33" s="61"/>
      <c r="H33" s="61"/>
      <c r="I33" s="61"/>
    </row>
    <row r="34" spans="1:18" x14ac:dyDescent="0.25">
      <c r="D34" s="5"/>
    </row>
    <row r="35" spans="1:18" x14ac:dyDescent="0.25">
      <c r="A35" s="35" t="s">
        <v>125</v>
      </c>
      <c r="B35" s="35"/>
      <c r="C35" s="35"/>
      <c r="D35" s="35"/>
      <c r="E35" s="35"/>
      <c r="F35" s="27" t="s">
        <v>126</v>
      </c>
      <c r="G35" s="28"/>
      <c r="H35" s="29"/>
    </row>
    <row r="36" spans="1:18" x14ac:dyDescent="0.25">
      <c r="A36" s="39"/>
      <c r="B36" s="39" t="s">
        <v>121</v>
      </c>
      <c r="C36" s="39" t="s">
        <v>60</v>
      </c>
      <c r="D36" s="39" t="s">
        <v>61</v>
      </c>
      <c r="E36" s="24" t="s">
        <v>46</v>
      </c>
      <c r="F36" s="39" t="s">
        <v>121</v>
      </c>
      <c r="G36" s="39" t="s">
        <v>66</v>
      </c>
      <c r="H36" s="39" t="s">
        <v>67</v>
      </c>
      <c r="L36" s="4"/>
      <c r="O36" s="45"/>
      <c r="P36" s="45"/>
      <c r="Q36" s="45"/>
      <c r="R36" s="45"/>
    </row>
    <row r="37" spans="1:18" x14ac:dyDescent="0.25">
      <c r="A37" s="46" t="s">
        <v>62</v>
      </c>
      <c r="B37" s="111">
        <f>IF(AND(O37&lt;=K37,O$41&lt;B$30,$R37&lt;$F22),O37+1,O37)</f>
        <v>0</v>
      </c>
      <c r="C37" s="112">
        <f>IF(AND(P37&lt;=L37,P$41&lt;C$30,$R37&lt;$F22),P37+1,IF(AND(O39&lt;=K39,O$41&lt;B$30,$R37&lt;$F22),P37+1,P37))</f>
        <v>0</v>
      </c>
      <c r="D37" s="113">
        <f>IF(AND(Q37&lt;=M37,Q$41&lt;D$30,$R37&lt;$F22),Q37+1,Q37)</f>
        <v>0</v>
      </c>
      <c r="E37" s="49">
        <f>SUM(B37:D37)</f>
        <v>0</v>
      </c>
      <c r="F37" s="37">
        <f>F22*0.25</f>
        <v>0</v>
      </c>
      <c r="G37" s="37">
        <f>F22*0.5</f>
        <v>0</v>
      </c>
      <c r="H37" s="37">
        <f>F22*0.25</f>
        <v>0</v>
      </c>
      <c r="K37" s="72">
        <f>ROUNDDOWN($F22,0)*0.25</f>
        <v>0</v>
      </c>
      <c r="L37" s="72">
        <f>ROUNDDOWN($F22,0)*0.5</f>
        <v>0</v>
      </c>
      <c r="M37" s="72">
        <f>ROUNDDOWN($F22,0)*0.25</f>
        <v>0</v>
      </c>
      <c r="N37" s="73"/>
      <c r="O37" s="74">
        <f>IF(ROUNDUP(K37,0)+P37+Q37&gt;F22,ROUNDDOWN(K37,0),IF(ROUNDUP(K37,0)+O40+O39+O38&gt;B30,ROUNDDOWN(K37,0),ROUNDUP(K37,0)))+IF(AND(F22-TRUNC(F22)&gt;0,B30-TRUNC(B30)&gt;0),F22-TRUNC(F22),0)</f>
        <v>0</v>
      </c>
      <c r="P37" s="74">
        <f>IF(ROUNDUP(L37,0)+ROUNDDOWN(K37,0)+Q37&gt;F22,ROUNDDOWN(L37,0),IF(ROUNDUP(L37,0)+P40+P39+P38&gt;C30,ROUNDDOWN(L37,0),ROUNDUP(L37,0)))+IF(AND(F22-TRUNC(F22)&gt;0,C30-TRUNC(C30)&gt;0),F22-TRUNC(F22),0)</f>
        <v>0</v>
      </c>
      <c r="Q37" s="74">
        <f>IF(ROUNDUP(M37,0)+ROUNDDOWN(L37,0)+ROUNDDOWN(K37,0)&gt;F22,ROUNDDOWN(M37,0),IF(ROUNDUP(M37,0)+Q40+Q39+Q38&gt;D30,ROUNDDOWN(M37,0),ROUNDUP(M37,0)))+IF(AND(F22-TRUNC(F22)&gt;0,D30-TRUNC(D30)&gt;0),F22-TRUNC(F22),0)</f>
        <v>0</v>
      </c>
      <c r="R37" s="75">
        <f>SUM(O37:Q37)</f>
        <v>0</v>
      </c>
    </row>
    <row r="38" spans="1:18" x14ac:dyDescent="0.25">
      <c r="A38" s="46" t="s">
        <v>63</v>
      </c>
      <c r="B38" s="114">
        <f>IF(AND(O38&lt;=K38,O$41&lt;B$30,$R38&lt;$F23),O38+1,O38)</f>
        <v>0</v>
      </c>
      <c r="C38" s="115">
        <f>IF(AND(P38&lt;=L38,P$41&lt;C$30,$R38&lt;$F23),P38+1,P38)</f>
        <v>0</v>
      </c>
      <c r="D38" s="116">
        <f>IF(AND(Q38&lt;=M38,Q$41&lt;D$30,$R38&lt;$F23),Q38+1,Q38)</f>
        <v>0</v>
      </c>
      <c r="E38" s="49">
        <f t="shared" ref="E38:E40" si="2">SUM(B38:D38)</f>
        <v>0</v>
      </c>
      <c r="F38" s="37">
        <f>F23*0.25</f>
        <v>0</v>
      </c>
      <c r="G38" s="37">
        <f>F23*0.5</f>
        <v>0</v>
      </c>
      <c r="H38" s="37">
        <f>F23*0.25</f>
        <v>0</v>
      </c>
      <c r="K38" s="72">
        <f>ROUNDDOWN($F23,0)*0.25</f>
        <v>0</v>
      </c>
      <c r="L38" s="72">
        <f>ROUNDDOWN($F23,0)*0.5</f>
        <v>0</v>
      </c>
      <c r="M38" s="72">
        <f>ROUNDDOWN($F23,0)*0.25</f>
        <v>0</v>
      </c>
      <c r="N38" s="73"/>
      <c r="O38" s="74">
        <f>IF(ROUNDUP(K38,0)+P38+Q38&gt;F23,ROUNDDOWN(K38,0),IF(ROUNDUP(K38,0)+ROUNDDOWN(K37,0)+O40+O39&gt;B30,ROUNDDOWN(K38,0),ROUNDUP(K38,0)))+IF(AND(F23-TRUNC(F23)&gt;0,B30-TRUNC(B30)&gt;0),F23-TRUNC(F23),0)</f>
        <v>0</v>
      </c>
      <c r="P38" s="74">
        <f>IF(ROUNDUP(L38,0)+ROUNDDOWN(K38,0)+Q38&gt;F23,ROUNDDOWN(L38,0),IF(ROUNDUP(L38,0)+ROUNDDOWN(L37,0)+P40+P39&gt;C30,ROUNDDOWN(L38,0),ROUNDUP(L38,0)))+IF(AND(F23-TRUNC(F23)&gt;0,C30-TRUNC(C30)&gt;0),F23-TRUNC(F23),0)</f>
        <v>0</v>
      </c>
      <c r="Q38" s="74">
        <f>IF(ROUNDUP(M38,0)+ROUNDDOWN(L38,0)+ROUNDDOWN(K38,0)&gt;F23,ROUNDDOWN(M38,0),IF(ROUNDUP(M38,0)+ROUNDDOWN(M37,0)+Q40+Q39&gt;D30,ROUNDDOWN(M38,0),ROUNDUP(M38,0)))+IF(AND(F23-TRUNC(F23)&gt;0,D30-TRUNC(D30)&gt;0),F23-TRUNC(F23),0)</f>
        <v>0</v>
      </c>
      <c r="R38" s="75">
        <f t="shared" ref="R38:R40" si="3">SUM(O38:Q38)</f>
        <v>0</v>
      </c>
    </row>
    <row r="39" spans="1:18" x14ac:dyDescent="0.25">
      <c r="A39" s="46" t="s">
        <v>64</v>
      </c>
      <c r="B39" s="114">
        <f>IF(AND(O39&lt;=K39,O$41&lt;B$30,$R39&lt;$F24),O39+1,IF(AND(O39&lt;=K39,O$41&lt;B$30,$R37&lt;$F22),O39+1,O39))</f>
        <v>0</v>
      </c>
      <c r="C39" s="115">
        <f>IF(AND(P39&lt;=L39,P$41&lt;C$30,$R39&lt;$F24),P39+1,IF(AND(O39&lt;=K39,O$41&lt;B$30,$R37&lt;$F22),P39-1,P39))</f>
        <v>0</v>
      </c>
      <c r="D39" s="116">
        <f>IF(AND(Q39&lt;=M39,Q$41&lt;D$30,$R39&lt;$F24),Q39+1,Q39)</f>
        <v>0</v>
      </c>
      <c r="E39" s="49">
        <f t="shared" si="2"/>
        <v>0</v>
      </c>
      <c r="F39" s="37">
        <f>F24*0.25</f>
        <v>0</v>
      </c>
      <c r="G39" s="37">
        <f>F24*0.5</f>
        <v>0</v>
      </c>
      <c r="H39" s="37">
        <f>F24*0.25</f>
        <v>0</v>
      </c>
      <c r="K39" s="72">
        <f>ROUNDDOWN($F24,0)*0.25</f>
        <v>0</v>
      </c>
      <c r="L39" s="72">
        <f>ROUNDDOWN($F24,0)*0.5</f>
        <v>0</v>
      </c>
      <c r="M39" s="72">
        <f>ROUNDDOWN($F24,0)*0.25</f>
        <v>0</v>
      </c>
      <c r="N39" s="73"/>
      <c r="O39" s="74">
        <f>IF(ROUNDUP(K39,0)+P39+Q39&gt;F24,ROUNDDOWN(K39,0),IF(ROUNDUP(K39,0)+ROUNDDOWN(K38,0)+ROUNDDOWN(K37,0)+O40&gt;B30,ROUNDDOWN(K39,0),ROUNDUP(K39,0)))+IF(AND(F24-TRUNC(F24)&gt;0,B30-TRUNC(B30)&gt;0),F24-TRUNC(F24),0)</f>
        <v>0</v>
      </c>
      <c r="P39" s="74">
        <f>IF(ROUNDUP(L39,0)+ROUNDDOWN(K39,0)+Q39&gt;F24,ROUNDDOWN(L39,0),IF(ROUNDUP(L39,0)+ROUNDDOWN(L38,0)+ROUNDDOWN(L37,0)+P40&gt;C30,ROUNDDOWN(L39,0),ROUNDUP(L39,0)))+IF(AND(F24-TRUNC(F24)&gt;0,C30-TRUNC(C30)&gt;0),F24-TRUNC(F24),0)</f>
        <v>0</v>
      </c>
      <c r="Q39" s="74">
        <f>IF(ROUNDUP(M39,0)+ROUNDDOWN(L39,0)+ROUNDDOWN(K39,0)&gt;F24,ROUNDDOWN(M39,0),IF(ROUNDUP(M39,0)+ROUNDDOWN(M38,0)+ROUNDDOWN(M37,0)+Q40&gt;D30,ROUNDDOWN(M39,0),ROUNDUP(M39,0)))+IF(AND(F24-TRUNC(F24)&gt;0,D30-TRUNC(D30)&gt;0),F24-TRUNC(F24),0)</f>
        <v>0</v>
      </c>
      <c r="R39" s="75">
        <f t="shared" si="3"/>
        <v>0</v>
      </c>
    </row>
    <row r="40" spans="1:18" x14ac:dyDescent="0.25">
      <c r="A40" s="46" t="s">
        <v>65</v>
      </c>
      <c r="B40" s="117">
        <f>IF(AND(O40&lt;=K40,O$41&lt;B$30,$R40&lt;$F25),O40+1,O40)</f>
        <v>0</v>
      </c>
      <c r="C40" s="118">
        <f>IF(AND(P40&lt;=L40,P$41&lt;C$30,$R40&lt;$F25),P40+1,P40)</f>
        <v>0</v>
      </c>
      <c r="D40" s="119">
        <f>IF(AND(Q40&lt;=M40,Q$41&lt;D$30,$R40&lt;$F25),Q40+1,Q40)</f>
        <v>0</v>
      </c>
      <c r="E40" s="49">
        <f t="shared" si="2"/>
        <v>0</v>
      </c>
      <c r="F40" s="37">
        <f>F25*0.25</f>
        <v>0</v>
      </c>
      <c r="G40" s="37">
        <f>F25*0.5</f>
        <v>0</v>
      </c>
      <c r="H40" s="37">
        <f>F25*0.25</f>
        <v>0</v>
      </c>
      <c r="K40" s="72">
        <f>ROUNDDOWN($F25,0)*0.25</f>
        <v>0</v>
      </c>
      <c r="L40" s="72">
        <f>ROUNDDOWN($F25,0)*0.5</f>
        <v>0</v>
      </c>
      <c r="M40" s="72">
        <f>ROUNDDOWN($F25,0)*0.25</f>
        <v>0</v>
      </c>
      <c r="N40" s="73"/>
      <c r="O40" s="74">
        <f>IF(ROUNDUP(K40,0)+P40+Q40&gt;F25,ROUNDDOWN(K40,0),IF(ROUNDUP(K40,0)+ROUNDDOWN(K39,0)+ROUNDDOWN(K38,0)+ROUNDDOWN(K37,0)&gt;B30,ROUNDDOWN(K40,0),ROUNDUP(K40,0)))+IF(AND(F25-TRUNC(F25)&gt;0,B30-TRUNC(B30)&gt;0),F25-TRUNC(F25),0)</f>
        <v>0</v>
      </c>
      <c r="P40" s="74">
        <f>IF(ROUNDUP(L40,0)+ROUNDDOWN(K40,0)+Q40&gt;F25,ROUNDDOWN(L40,0),IF(ROUNDUP(L40,0)+ROUNDDOWN(L39,0)+ROUNDDOWN(L38,0)+ROUNDDOWN(L37,0)&gt;C30,ROUNDDOWN(L40,0),ROUNDUP(L40,0)))+IF(AND(F25-TRUNC(F25)&gt;0,C30-TRUNC(C30)&gt;0),F25-TRUNC(F25),0)</f>
        <v>0</v>
      </c>
      <c r="Q40" s="74">
        <f>IF(ROUNDUP(M40,0)+ROUNDDOWN(L40,0)+ROUNDDOWN(K40,0)&gt;F25,ROUNDDOWN(M40,0),IF(ROUNDUP(M40,0)+ROUNDDOWN(M39,0)+ROUNDDOWN(M38,0)+ROUNDDOWN(M37,0)&gt;D30,ROUNDDOWN(M40,0),ROUNDUP(M40,0)))+IF(AND(F25-TRUNC(F25)&gt;0,D30-TRUNC(D30)&gt;0),F25-TRUNC(F25),0)</f>
        <v>0</v>
      </c>
      <c r="R40" s="75">
        <f t="shared" si="3"/>
        <v>0</v>
      </c>
    </row>
    <row r="41" spans="1:18" x14ac:dyDescent="0.25">
      <c r="A41" s="56" t="s">
        <v>46</v>
      </c>
      <c r="B41" s="49">
        <f>SUM(B37:B40)</f>
        <v>0</v>
      </c>
      <c r="C41" s="49">
        <f t="shared" ref="C41" si="4">SUM(C37:C40)</f>
        <v>0</v>
      </c>
      <c r="D41" s="49">
        <f t="shared" ref="D41" si="5">SUM(D37:D40)</f>
        <v>0</v>
      </c>
      <c r="E41" s="62"/>
      <c r="F41" s="63"/>
      <c r="G41" s="63"/>
      <c r="H41" s="63"/>
      <c r="I41" s="15"/>
      <c r="J41" s="15"/>
      <c r="K41" s="76"/>
      <c r="L41" s="76"/>
      <c r="M41" s="73"/>
      <c r="N41" s="73"/>
      <c r="O41" s="75">
        <f>SUM(O37:O40)</f>
        <v>0</v>
      </c>
      <c r="P41" s="75">
        <f t="shared" ref="P41:Q41" si="6">SUM(P37:P40)</f>
        <v>0</v>
      </c>
      <c r="Q41" s="75">
        <f t="shared" si="6"/>
        <v>0</v>
      </c>
      <c r="R41" s="77"/>
    </row>
    <row r="43" spans="1:18" ht="60" customHeight="1" x14ac:dyDescent="0.25">
      <c r="A43" s="21" t="s">
        <v>136</v>
      </c>
      <c r="B43" s="21"/>
      <c r="C43" s="21"/>
      <c r="D43" s="21"/>
      <c r="E43" s="21"/>
      <c r="F43" s="21"/>
      <c r="G43" s="21"/>
      <c r="H43" s="21"/>
      <c r="I43" s="21"/>
    </row>
    <row r="44" spans="1:18" x14ac:dyDescent="0.25">
      <c r="A44" s="6"/>
    </row>
    <row r="45" spans="1:18" x14ac:dyDescent="0.25">
      <c r="A45" s="24"/>
      <c r="B45" s="27" t="s">
        <v>137</v>
      </c>
      <c r="C45" s="28"/>
      <c r="D45" s="29"/>
      <c r="E45" s="81"/>
      <c r="F45" s="27" t="s">
        <v>138</v>
      </c>
      <c r="G45" s="28"/>
      <c r="H45" s="29"/>
    </row>
    <row r="46" spans="1:18" x14ac:dyDescent="0.25">
      <c r="A46" s="39"/>
      <c r="B46" s="39" t="s">
        <v>121</v>
      </c>
      <c r="C46" s="39" t="s">
        <v>66</v>
      </c>
      <c r="D46" s="39" t="s">
        <v>67</v>
      </c>
      <c r="E46" s="80"/>
      <c r="F46" s="39" t="s">
        <v>121</v>
      </c>
      <c r="G46" s="39" t="s">
        <v>66</v>
      </c>
      <c r="H46" s="39" t="s">
        <v>67</v>
      </c>
      <c r="I46" s="4"/>
      <c r="J46" s="78"/>
    </row>
    <row r="47" spans="1:18" x14ac:dyDescent="0.25">
      <c r="A47" s="46" t="s">
        <v>62</v>
      </c>
      <c r="B47" s="111">
        <f>IF(B37-TRUNC(B37)&gt;0,TRUNC(B37),B37)</f>
        <v>0</v>
      </c>
      <c r="C47" s="112">
        <f t="shared" ref="C47:D47" si="7">IF(C37-TRUNC(C37)&gt;0,TRUNC(C37),C37)</f>
        <v>0</v>
      </c>
      <c r="D47" s="113">
        <f t="shared" si="7"/>
        <v>0</v>
      </c>
      <c r="E47" s="81"/>
      <c r="F47" s="111">
        <v>0</v>
      </c>
      <c r="G47" s="112">
        <v>0</v>
      </c>
      <c r="H47" s="113">
        <v>0</v>
      </c>
      <c r="J47" s="78"/>
    </row>
    <row r="48" spans="1:18" x14ac:dyDescent="0.25">
      <c r="A48" s="46" t="s">
        <v>63</v>
      </c>
      <c r="B48" s="114">
        <f t="shared" ref="B48:D48" si="8">IF(B38-TRUNC(B38)&gt;0,TRUNC(B38),B38)</f>
        <v>0</v>
      </c>
      <c r="C48" s="115">
        <f t="shared" si="8"/>
        <v>0</v>
      </c>
      <c r="D48" s="116">
        <f t="shared" si="8"/>
        <v>0</v>
      </c>
      <c r="E48" s="81"/>
      <c r="F48" s="114">
        <v>0</v>
      </c>
      <c r="G48" s="115">
        <v>0</v>
      </c>
      <c r="H48" s="116">
        <v>0</v>
      </c>
      <c r="J48" s="78"/>
    </row>
    <row r="49" spans="1:10" x14ac:dyDescent="0.25">
      <c r="A49" s="46" t="s">
        <v>64</v>
      </c>
      <c r="B49" s="114">
        <f t="shared" ref="B49:D49" si="9">IF(B39-TRUNC(B39)&gt;0,TRUNC(B39),B39)</f>
        <v>0</v>
      </c>
      <c r="C49" s="115">
        <f t="shared" si="9"/>
        <v>0</v>
      </c>
      <c r="D49" s="116">
        <f t="shared" si="9"/>
        <v>0</v>
      </c>
      <c r="E49" s="81"/>
      <c r="F49" s="114">
        <v>0</v>
      </c>
      <c r="G49" s="115">
        <v>0</v>
      </c>
      <c r="H49" s="116">
        <v>0</v>
      </c>
      <c r="J49" s="78"/>
    </row>
    <row r="50" spans="1:10" x14ac:dyDescent="0.25">
      <c r="A50" s="46" t="s">
        <v>65</v>
      </c>
      <c r="B50" s="117">
        <f t="shared" ref="B50:D50" si="10">IF(B40-TRUNC(B40)&gt;0,TRUNC(B40),B40)</f>
        <v>0</v>
      </c>
      <c r="C50" s="118">
        <f t="shared" si="10"/>
        <v>0</v>
      </c>
      <c r="D50" s="119">
        <f t="shared" si="10"/>
        <v>0</v>
      </c>
      <c r="E50" s="81"/>
      <c r="F50" s="117">
        <v>0</v>
      </c>
      <c r="G50" s="118">
        <v>0</v>
      </c>
      <c r="H50" s="119">
        <v>0</v>
      </c>
      <c r="J50" s="40"/>
    </row>
    <row r="51" spans="1:10" s="40" customFormat="1" x14ac:dyDescent="0.25">
      <c r="A51" s="83"/>
      <c r="B51" s="82"/>
      <c r="C51" s="82"/>
      <c r="D51" s="82"/>
      <c r="F51" s="82"/>
      <c r="G51" s="82"/>
      <c r="H51" s="82"/>
    </row>
    <row r="52" spans="1:10" x14ac:dyDescent="0.25">
      <c r="A52" s="24"/>
      <c r="B52" s="27" t="s">
        <v>139</v>
      </c>
      <c r="C52" s="28"/>
      <c r="D52" s="29"/>
      <c r="E52" s="81"/>
      <c r="F52" s="27" t="s">
        <v>140</v>
      </c>
      <c r="G52" s="28"/>
      <c r="H52" s="29"/>
    </row>
    <row r="53" spans="1:10" x14ac:dyDescent="0.25">
      <c r="A53" s="39"/>
      <c r="B53" s="39" t="s">
        <v>121</v>
      </c>
      <c r="C53" s="39" t="s">
        <v>66</v>
      </c>
      <c r="D53" s="39" t="s">
        <v>67</v>
      </c>
      <c r="E53" s="80"/>
      <c r="F53" s="39" t="s">
        <v>121</v>
      </c>
      <c r="G53" s="39" t="s">
        <v>66</v>
      </c>
      <c r="H53" s="39" t="s">
        <v>67</v>
      </c>
    </row>
    <row r="54" spans="1:10" x14ac:dyDescent="0.25">
      <c r="A54" s="46" t="s">
        <v>62</v>
      </c>
      <c r="B54" s="111">
        <v>0</v>
      </c>
      <c r="C54" s="112">
        <v>0</v>
      </c>
      <c r="D54" s="113">
        <v>0</v>
      </c>
      <c r="E54" s="81"/>
      <c r="F54" s="111">
        <v>0</v>
      </c>
      <c r="G54" s="112">
        <v>0</v>
      </c>
      <c r="H54" s="113">
        <v>0</v>
      </c>
    </row>
    <row r="55" spans="1:10" x14ac:dyDescent="0.25">
      <c r="A55" s="46" t="s">
        <v>63</v>
      </c>
      <c r="B55" s="114">
        <v>0</v>
      </c>
      <c r="C55" s="115">
        <v>0</v>
      </c>
      <c r="D55" s="116">
        <v>0</v>
      </c>
      <c r="E55" s="81"/>
      <c r="F55" s="114">
        <v>0</v>
      </c>
      <c r="G55" s="115">
        <v>0</v>
      </c>
      <c r="H55" s="116">
        <v>0</v>
      </c>
    </row>
    <row r="56" spans="1:10" x14ac:dyDescent="0.25">
      <c r="A56" s="46" t="s">
        <v>64</v>
      </c>
      <c r="B56" s="114">
        <v>0</v>
      </c>
      <c r="C56" s="115">
        <v>0</v>
      </c>
      <c r="D56" s="116">
        <v>0</v>
      </c>
      <c r="E56" s="81"/>
      <c r="F56" s="114">
        <v>0</v>
      </c>
      <c r="G56" s="115">
        <v>0</v>
      </c>
      <c r="H56" s="116">
        <v>0</v>
      </c>
    </row>
    <row r="57" spans="1:10" x14ac:dyDescent="0.25">
      <c r="A57" s="46" t="s">
        <v>65</v>
      </c>
      <c r="B57" s="117">
        <v>0</v>
      </c>
      <c r="C57" s="118">
        <v>0</v>
      </c>
      <c r="D57" s="119">
        <v>0</v>
      </c>
      <c r="E57" s="81"/>
      <c r="F57" s="117">
        <v>0</v>
      </c>
      <c r="G57" s="118">
        <v>0</v>
      </c>
      <c r="H57" s="119">
        <v>0</v>
      </c>
    </row>
    <row r="58" spans="1:10" s="40" customFormat="1" x14ac:dyDescent="0.25">
      <c r="A58" s="83"/>
      <c r="B58" s="84"/>
      <c r="C58" s="84"/>
      <c r="D58" s="84"/>
      <c r="F58" s="84"/>
      <c r="G58" s="84"/>
      <c r="H58" s="84"/>
    </row>
    <row r="59" spans="1:10" x14ac:dyDescent="0.25">
      <c r="A59" s="24"/>
      <c r="B59" s="27" t="s">
        <v>141</v>
      </c>
      <c r="C59" s="28"/>
      <c r="D59" s="93"/>
      <c r="E59" s="92" t="s">
        <v>142</v>
      </c>
      <c r="F59" s="35"/>
      <c r="G59" s="35"/>
      <c r="H59" s="35"/>
    </row>
    <row r="60" spans="1:10" x14ac:dyDescent="0.25">
      <c r="A60" s="39"/>
      <c r="B60" s="39" t="s">
        <v>121</v>
      </c>
      <c r="C60" s="39" t="s">
        <v>66</v>
      </c>
      <c r="D60" s="48" t="s">
        <v>67</v>
      </c>
      <c r="E60" s="86" t="s">
        <v>121</v>
      </c>
      <c r="F60" s="39" t="s">
        <v>66</v>
      </c>
      <c r="G60" s="39" t="s">
        <v>67</v>
      </c>
      <c r="H60" s="49"/>
    </row>
    <row r="61" spans="1:10" x14ac:dyDescent="0.25">
      <c r="A61" s="46" t="s">
        <v>62</v>
      </c>
      <c r="B61" s="47">
        <f>B37-B47-F47-B54-F54</f>
        <v>0</v>
      </c>
      <c r="C61" s="94">
        <f t="shared" ref="C61:D64" si="11">C37-C47-G47-C54-G54</f>
        <v>0</v>
      </c>
      <c r="D61" s="95">
        <f t="shared" si="11"/>
        <v>0</v>
      </c>
      <c r="E61" s="87">
        <f>B61*IF(Sheet4!B29&gt;0,Sheet4!B29,0)</f>
        <v>0</v>
      </c>
      <c r="F61" s="85">
        <f>C61*IF(Sheet4!C29&gt;0,Sheet4!C29,0)</f>
        <v>0</v>
      </c>
      <c r="G61" s="85">
        <f>D61*IF(Sheet4!D29&gt;0,Sheet4!D29,0)</f>
        <v>0</v>
      </c>
      <c r="H61" s="79"/>
    </row>
    <row r="62" spans="1:10" x14ac:dyDescent="0.25">
      <c r="A62" s="46" t="s">
        <v>63</v>
      </c>
      <c r="B62" s="47">
        <f t="shared" ref="B62:B64" si="12">B38-B48-F48-B55-F55</f>
        <v>0</v>
      </c>
      <c r="C62" s="94">
        <f t="shared" si="11"/>
        <v>0</v>
      </c>
      <c r="D62" s="95">
        <f t="shared" si="11"/>
        <v>0</v>
      </c>
      <c r="E62" s="87">
        <f>B62*IF(Sheet4!B30&gt;0,Sheet4!B30,0)</f>
        <v>0</v>
      </c>
      <c r="F62" s="85">
        <f>C62*IF(Sheet4!C30&gt;0,Sheet4!C30,0)</f>
        <v>0</v>
      </c>
      <c r="G62" s="85">
        <f>D62*IF(Sheet4!D30&gt;0,Sheet4!D30,0)</f>
        <v>0</v>
      </c>
      <c r="H62" s="79"/>
    </row>
    <row r="63" spans="1:10" x14ac:dyDescent="0.25">
      <c r="A63" s="46" t="s">
        <v>64</v>
      </c>
      <c r="B63" s="47">
        <f t="shared" si="12"/>
        <v>0</v>
      </c>
      <c r="C63" s="94">
        <f t="shared" si="11"/>
        <v>0</v>
      </c>
      <c r="D63" s="95">
        <f t="shared" si="11"/>
        <v>0</v>
      </c>
      <c r="E63" s="87">
        <f>B63*IF(Sheet4!B31&gt;0,Sheet4!B31,0)</f>
        <v>0</v>
      </c>
      <c r="F63" s="85">
        <f>C63*IF(Sheet4!C31&gt;0,Sheet4!C31,0)</f>
        <v>0</v>
      </c>
      <c r="G63" s="85">
        <f>D63*IF(Sheet4!D31&gt;0,Sheet4!D31,0)</f>
        <v>0</v>
      </c>
      <c r="H63" s="79"/>
    </row>
    <row r="64" spans="1:10" ht="15.75" thickBot="1" x14ac:dyDescent="0.3">
      <c r="A64" s="46" t="s">
        <v>65</v>
      </c>
      <c r="B64" s="47">
        <f t="shared" si="12"/>
        <v>0</v>
      </c>
      <c r="C64" s="94">
        <f t="shared" si="11"/>
        <v>0</v>
      </c>
      <c r="D64" s="95">
        <f t="shared" si="11"/>
        <v>0</v>
      </c>
      <c r="E64" s="87">
        <f>B64*IF(Sheet4!B32&gt;0,Sheet4!B32,0)</f>
        <v>0</v>
      </c>
      <c r="F64" s="85">
        <f>C64*IF(Sheet4!C32&gt;0,Sheet4!C32,0)</f>
        <v>0</v>
      </c>
      <c r="G64" s="85">
        <f>D64*IF(Sheet4!D32&gt;0,Sheet4!D32,0)</f>
        <v>0</v>
      </c>
      <c r="H64" s="90"/>
    </row>
    <row r="65" spans="1:8" ht="15.75" thickBot="1" x14ac:dyDescent="0.3">
      <c r="A65" s="24"/>
      <c r="B65" s="33"/>
      <c r="C65" s="96"/>
      <c r="D65" s="97"/>
      <c r="E65" s="88" t="s">
        <v>46</v>
      </c>
      <c r="F65" s="89"/>
      <c r="G65" s="89"/>
      <c r="H65" s="91">
        <f>SUM(E61:G64)</f>
        <v>0</v>
      </c>
    </row>
  </sheetData>
  <sheetProtection sheet="1" objects="1" scenarios="1"/>
  <mergeCells count="37">
    <mergeCell ref="A2:I2"/>
    <mergeCell ref="B52:D52"/>
    <mergeCell ref="F52:H52"/>
    <mergeCell ref="B59:D59"/>
    <mergeCell ref="E65:G65"/>
    <mergeCell ref="E59:H59"/>
    <mergeCell ref="F41:H41"/>
    <mergeCell ref="A26:D26"/>
    <mergeCell ref="G26:I26"/>
    <mergeCell ref="A43:I43"/>
    <mergeCell ref="B45:D45"/>
    <mergeCell ref="F45:H45"/>
    <mergeCell ref="G28:I28"/>
    <mergeCell ref="G29:I30"/>
    <mergeCell ref="G31:I31"/>
    <mergeCell ref="A33:I33"/>
    <mergeCell ref="A35:E35"/>
    <mergeCell ref="F35:H35"/>
    <mergeCell ref="A21:D21"/>
    <mergeCell ref="A22:D22"/>
    <mergeCell ref="A23:D23"/>
    <mergeCell ref="A24:D24"/>
    <mergeCell ref="A25:D25"/>
    <mergeCell ref="A4:I4"/>
    <mergeCell ref="A19:I19"/>
    <mergeCell ref="B6:E6"/>
    <mergeCell ref="B7:E7"/>
    <mergeCell ref="B8:E8"/>
    <mergeCell ref="B9:E9"/>
    <mergeCell ref="B10:E10"/>
    <mergeCell ref="B11:E11"/>
    <mergeCell ref="B12:E12"/>
    <mergeCell ref="B13:E13"/>
    <mergeCell ref="B14:E14"/>
    <mergeCell ref="B15:E15"/>
    <mergeCell ref="B16:E16"/>
    <mergeCell ref="A17:E17"/>
  </mergeCells>
  <conditionalFormatting sqref="B41:D41">
    <cfRule type="cellIs" dxfId="10" priority="18" operator="lessThan">
      <formula>B$30</formula>
    </cfRule>
    <cfRule type="cellIs" dxfId="9" priority="19" operator="greaterThan">
      <formula>B$30</formula>
    </cfRule>
  </conditionalFormatting>
  <conditionalFormatting sqref="E37:E40">
    <cfRule type="cellIs" dxfId="8" priority="16" operator="lessThan">
      <formula>$F22</formula>
    </cfRule>
    <cfRule type="cellIs" dxfId="7" priority="17" operator="greaterThan">
      <formula>$F22</formula>
    </cfRule>
  </conditionalFormatting>
  <conditionalFormatting sqref="G22">
    <cfRule type="expression" priority="10" stopIfTrue="1">
      <formula>AND($F$22=$E$22,$F$23=$E$23,$F$24=$E$24,$F$25=$E$25)</formula>
    </cfRule>
    <cfRule type="cellIs" dxfId="6" priority="11" operator="lessThan">
      <formula>0.34</formula>
    </cfRule>
  </conditionalFormatting>
  <conditionalFormatting sqref="G23">
    <cfRule type="expression" priority="8" stopIfTrue="1">
      <formula>AND($F$22=$E$22,$F$23=$E$23,$F$24=$E$24,$F$25=$E$25)</formula>
    </cfRule>
    <cfRule type="cellIs" dxfId="5" priority="9" operator="lessThan">
      <formula>0.27</formula>
    </cfRule>
  </conditionalFormatting>
  <conditionalFormatting sqref="G24">
    <cfRule type="expression" priority="6" stopIfTrue="1">
      <formula>AND($F$22=$E$22,$F$23=$E$23,$F$24=$E$24,$F$25=$E$25)</formula>
    </cfRule>
    <cfRule type="cellIs" dxfId="4" priority="7" operator="greaterThanOrEqual">
      <formula>0.23</formula>
    </cfRule>
  </conditionalFormatting>
  <conditionalFormatting sqref="G25">
    <cfRule type="expression" priority="4" stopIfTrue="1">
      <formula>AND($F$22=$E$22,$F$23=$E$23,$F$24=$E$24,$F$25=$E$25)</formula>
    </cfRule>
    <cfRule type="cellIs" dxfId="3" priority="5" operator="greaterThanOrEqual">
      <formula>0.15</formula>
    </cfRule>
  </conditionalFormatting>
  <conditionalFormatting sqref="F26">
    <cfRule type="expression" dxfId="2" priority="3">
      <formula>ROUND($F$26,3)&lt;ROUND($I$17,3)</formula>
    </cfRule>
  </conditionalFormatting>
  <conditionalFormatting sqref="E30">
    <cfRule type="expression" dxfId="1" priority="2">
      <formula>ROUND($E$30,3)&lt;ROUND($I$17,3)</formula>
    </cfRule>
  </conditionalFormatting>
  <conditionalFormatting sqref="F30">
    <cfRule type="cellIs" dxfId="0" priority="1" operator="lessThan">
      <formula>$F$29</formula>
    </cfRule>
  </conditionalFormatting>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Sheet2!$A$2:$A$49</xm:f>
          </x14:formula1>
          <xm:sqref>A7:A16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49"/>
  <sheetViews>
    <sheetView workbookViewId="0">
      <selection activeCell="A7" sqref="A7"/>
    </sheetView>
  </sheetViews>
  <sheetFormatPr defaultRowHeight="15" x14ac:dyDescent="0.25"/>
  <cols>
    <col min="1" max="1" width="46.42578125" customWidth="1"/>
    <col min="2" max="2" width="42.5703125" customWidth="1"/>
    <col min="3" max="3" width="17.7109375" customWidth="1"/>
  </cols>
  <sheetData>
    <row r="1" spans="1:3" x14ac:dyDescent="0.25">
      <c r="A1" t="s">
        <v>41</v>
      </c>
      <c r="B1" t="s">
        <v>42</v>
      </c>
    </row>
    <row r="2" spans="1:3" x14ac:dyDescent="0.25">
      <c r="A2" s="2" t="s">
        <v>2</v>
      </c>
      <c r="B2" t="s">
        <v>43</v>
      </c>
      <c r="C2">
        <v>0</v>
      </c>
    </row>
    <row r="3" spans="1:3" x14ac:dyDescent="0.25">
      <c r="A3" s="2" t="s">
        <v>3</v>
      </c>
      <c r="B3" t="s">
        <v>44</v>
      </c>
      <c r="C3" t="s">
        <v>78</v>
      </c>
    </row>
    <row r="4" spans="1:3" x14ac:dyDescent="0.25">
      <c r="A4" s="2" t="s">
        <v>47</v>
      </c>
      <c r="B4" t="s">
        <v>43</v>
      </c>
      <c r="C4">
        <v>0</v>
      </c>
    </row>
    <row r="5" spans="1:3" x14ac:dyDescent="0.25">
      <c r="A5" s="2" t="s">
        <v>48</v>
      </c>
      <c r="B5" t="s">
        <v>43</v>
      </c>
      <c r="C5">
        <v>0</v>
      </c>
    </row>
    <row r="6" spans="1:3" x14ac:dyDescent="0.25">
      <c r="A6" s="2" t="s">
        <v>143</v>
      </c>
      <c r="B6" t="s">
        <v>43</v>
      </c>
      <c r="C6">
        <v>0</v>
      </c>
    </row>
    <row r="7" spans="1:3" x14ac:dyDescent="0.25">
      <c r="A7" s="2" t="s">
        <v>49</v>
      </c>
      <c r="B7" t="s">
        <v>110</v>
      </c>
    </row>
    <row r="8" spans="1:3" x14ac:dyDescent="0.25">
      <c r="A8" s="2" t="s">
        <v>50</v>
      </c>
      <c r="B8" t="s">
        <v>111</v>
      </c>
    </row>
    <row r="9" spans="1:3" x14ac:dyDescent="0.25">
      <c r="A9" s="2" t="s">
        <v>51</v>
      </c>
      <c r="B9" t="s">
        <v>111</v>
      </c>
    </row>
    <row r="10" spans="1:3" x14ac:dyDescent="0.25">
      <c r="A10" s="2" t="s">
        <v>52</v>
      </c>
      <c r="B10" t="s">
        <v>112</v>
      </c>
    </row>
    <row r="11" spans="1:3" x14ac:dyDescent="0.25">
      <c r="A11" s="2" t="s">
        <v>53</v>
      </c>
      <c r="B11" t="s">
        <v>113</v>
      </c>
    </row>
    <row r="12" spans="1:3" x14ac:dyDescent="0.25">
      <c r="A12" s="2" t="s">
        <v>54</v>
      </c>
      <c r="B12" t="s">
        <v>113</v>
      </c>
    </row>
    <row r="13" spans="1:3" x14ac:dyDescent="0.25">
      <c r="A13" s="2" t="s">
        <v>4</v>
      </c>
      <c r="B13" t="s">
        <v>43</v>
      </c>
      <c r="C13">
        <v>0</v>
      </c>
    </row>
    <row r="14" spans="1:3" x14ac:dyDescent="0.25">
      <c r="A14" s="2" t="s">
        <v>5</v>
      </c>
      <c r="B14" t="s">
        <v>43</v>
      </c>
      <c r="C14">
        <v>0</v>
      </c>
    </row>
    <row r="15" spans="1:3" x14ac:dyDescent="0.25">
      <c r="A15" s="2" t="s">
        <v>6</v>
      </c>
      <c r="B15" t="s">
        <v>43</v>
      </c>
      <c r="C15">
        <v>0</v>
      </c>
    </row>
    <row r="16" spans="1:3" x14ac:dyDescent="0.25">
      <c r="A16" s="2" t="s">
        <v>7</v>
      </c>
      <c r="B16" t="s">
        <v>104</v>
      </c>
      <c r="C16" s="14">
        <f>Sheet5!$H$36</f>
        <v>0.2042932366856437</v>
      </c>
    </row>
    <row r="17" spans="1:4" x14ac:dyDescent="0.25">
      <c r="A17" s="2" t="s">
        <v>8</v>
      </c>
      <c r="B17" t="s">
        <v>104</v>
      </c>
      <c r="C17" s="14">
        <f>Sheet5!$H$36</f>
        <v>0.2042932366856437</v>
      </c>
    </row>
    <row r="18" spans="1:4" x14ac:dyDescent="0.25">
      <c r="A18" s="2" t="s">
        <v>9</v>
      </c>
      <c r="B18" t="s">
        <v>105</v>
      </c>
      <c r="C18" s="20">
        <f>Sheet5!$E$36/1000</f>
        <v>6.5485491886197432E-4</v>
      </c>
    </row>
    <row r="19" spans="1:4" x14ac:dyDescent="0.25">
      <c r="A19" s="2" t="s">
        <v>10</v>
      </c>
      <c r="B19" t="s">
        <v>106</v>
      </c>
      <c r="C19" s="20">
        <f>Sheet5!$C$36/1000</f>
        <v>5.7262920327078449E-4</v>
      </c>
      <c r="D19" s="7"/>
    </row>
    <row r="20" spans="1:4" x14ac:dyDescent="0.25">
      <c r="A20" s="2" t="s">
        <v>11</v>
      </c>
      <c r="B20" t="s">
        <v>106</v>
      </c>
      <c r="C20" s="20">
        <f>Sheet5!$C$36/1000</f>
        <v>5.7262920327078449E-4</v>
      </c>
      <c r="D20" s="7"/>
    </row>
    <row r="21" spans="1:4" x14ac:dyDescent="0.25">
      <c r="A21" s="2" t="s">
        <v>12</v>
      </c>
      <c r="B21" t="s">
        <v>107</v>
      </c>
      <c r="C21" s="20">
        <f>Sheet5!$D$36/1000</f>
        <v>1.5893752117701982E-3</v>
      </c>
      <c r="D21" s="8"/>
    </row>
    <row r="22" spans="1:4" x14ac:dyDescent="0.25">
      <c r="A22" s="2" t="s">
        <v>13</v>
      </c>
      <c r="B22" t="s">
        <v>106</v>
      </c>
      <c r="C22" s="20">
        <f>Sheet5!$C$36/1000</f>
        <v>5.7262920327078449E-4</v>
      </c>
      <c r="D22" s="7"/>
    </row>
    <row r="23" spans="1:4" x14ac:dyDescent="0.25">
      <c r="A23" s="2" t="s">
        <v>14</v>
      </c>
      <c r="B23" t="s">
        <v>108</v>
      </c>
      <c r="C23" s="20">
        <f>Sheet5!$F$36/1000</f>
        <v>3.2620287815183141E-4</v>
      </c>
    </row>
    <row r="24" spans="1:4" x14ac:dyDescent="0.25">
      <c r="A24" s="2" t="s">
        <v>15</v>
      </c>
      <c r="B24" t="s">
        <v>106</v>
      </c>
      <c r="C24" s="20">
        <f>Sheet5!$C$36/1000</f>
        <v>5.7262920327078449E-4</v>
      </c>
      <c r="D24" s="7"/>
    </row>
    <row r="25" spans="1:4" x14ac:dyDescent="0.25">
      <c r="A25" s="2" t="s">
        <v>16</v>
      </c>
      <c r="B25" t="s">
        <v>106</v>
      </c>
      <c r="C25" s="20">
        <f>Sheet5!$C$36/1000</f>
        <v>5.7262920327078449E-4</v>
      </c>
      <c r="D25" s="7"/>
    </row>
    <row r="26" spans="1:4" x14ac:dyDescent="0.25">
      <c r="A26" s="2" t="s">
        <v>17</v>
      </c>
      <c r="B26" t="s">
        <v>44</v>
      </c>
      <c r="C26" t="s">
        <v>78</v>
      </c>
    </row>
    <row r="27" spans="1:4" x14ac:dyDescent="0.25">
      <c r="A27" s="2" t="s">
        <v>18</v>
      </c>
      <c r="B27" t="s">
        <v>44</v>
      </c>
      <c r="C27" t="s">
        <v>78</v>
      </c>
    </row>
    <row r="28" spans="1:4" x14ac:dyDescent="0.25">
      <c r="A28" s="2" t="s">
        <v>19</v>
      </c>
      <c r="B28" t="s">
        <v>106</v>
      </c>
      <c r="C28" s="20">
        <f>Sheet5!$C$36/1000</f>
        <v>5.7262920327078449E-4</v>
      </c>
      <c r="D28" s="7"/>
    </row>
    <row r="29" spans="1:4" x14ac:dyDescent="0.25">
      <c r="A29" s="2" t="s">
        <v>20</v>
      </c>
      <c r="B29" t="s">
        <v>109</v>
      </c>
      <c r="C29" s="20">
        <f>Sheet5!$G$36/1000</f>
        <v>6.9798705916025705E-4</v>
      </c>
    </row>
    <row r="30" spans="1:4" x14ac:dyDescent="0.25">
      <c r="A30" s="2" t="s">
        <v>21</v>
      </c>
      <c r="B30" t="s">
        <v>109</v>
      </c>
      <c r="C30" s="20">
        <f>Sheet5!$G$36/1000</f>
        <v>6.9798705916025705E-4</v>
      </c>
    </row>
    <row r="31" spans="1:4" x14ac:dyDescent="0.25">
      <c r="A31" s="1" t="s">
        <v>22</v>
      </c>
      <c r="B31" t="s">
        <v>108</v>
      </c>
      <c r="C31" s="20">
        <f>Sheet5!$F$36/1000</f>
        <v>3.2620287815183141E-4</v>
      </c>
    </row>
    <row r="32" spans="1:4" x14ac:dyDescent="0.25">
      <c r="A32" s="1" t="s">
        <v>23</v>
      </c>
      <c r="B32" t="s">
        <v>108</v>
      </c>
      <c r="C32" s="20">
        <f>Sheet5!$F$36/1000</f>
        <v>3.2620287815183141E-4</v>
      </c>
    </row>
    <row r="33" spans="1:3" x14ac:dyDescent="0.25">
      <c r="A33" s="1" t="s">
        <v>24</v>
      </c>
      <c r="B33" t="s">
        <v>108</v>
      </c>
      <c r="C33" s="20">
        <f>Sheet5!$F$36/1000</f>
        <v>3.2620287815183141E-4</v>
      </c>
    </row>
    <row r="34" spans="1:3" x14ac:dyDescent="0.25">
      <c r="A34" s="1" t="s">
        <v>25</v>
      </c>
      <c r="B34" t="s">
        <v>108</v>
      </c>
      <c r="C34" s="20">
        <f>Sheet5!$F$36/1000</f>
        <v>3.2620287815183141E-4</v>
      </c>
    </row>
    <row r="35" spans="1:3" x14ac:dyDescent="0.25">
      <c r="A35" s="1" t="s">
        <v>26</v>
      </c>
      <c r="B35" t="s">
        <v>108</v>
      </c>
      <c r="C35" s="20">
        <f>Sheet5!$F$36/1000</f>
        <v>3.2620287815183141E-4</v>
      </c>
    </row>
    <row r="36" spans="1:3" x14ac:dyDescent="0.25">
      <c r="A36" s="1" t="s">
        <v>27</v>
      </c>
      <c r="B36" t="s">
        <v>108</v>
      </c>
      <c r="C36" s="20">
        <f>Sheet5!$F$36/1000</f>
        <v>3.2620287815183141E-4</v>
      </c>
    </row>
    <row r="37" spans="1:3" x14ac:dyDescent="0.25">
      <c r="A37" s="1" t="s">
        <v>28</v>
      </c>
      <c r="B37" t="s">
        <v>108</v>
      </c>
      <c r="C37" s="20">
        <f>Sheet5!$F$36/1000</f>
        <v>3.2620287815183141E-4</v>
      </c>
    </row>
    <row r="38" spans="1:3" x14ac:dyDescent="0.25">
      <c r="A38" s="1" t="s">
        <v>29</v>
      </c>
      <c r="B38" t="s">
        <v>43</v>
      </c>
      <c r="C38">
        <v>0</v>
      </c>
    </row>
    <row r="39" spans="1:3" x14ac:dyDescent="0.25">
      <c r="A39" s="1" t="s">
        <v>30</v>
      </c>
      <c r="B39" t="s">
        <v>104</v>
      </c>
      <c r="C39" s="14">
        <f>Sheet5!$H$36</f>
        <v>0.2042932366856437</v>
      </c>
    </row>
    <row r="40" spans="1:3" x14ac:dyDescent="0.25">
      <c r="A40" s="1" t="s">
        <v>31</v>
      </c>
      <c r="B40" t="s">
        <v>43</v>
      </c>
      <c r="C40">
        <v>0</v>
      </c>
    </row>
    <row r="41" spans="1:3" x14ac:dyDescent="0.25">
      <c r="A41" s="1" t="s">
        <v>32</v>
      </c>
      <c r="B41" t="s">
        <v>43</v>
      </c>
      <c r="C41">
        <v>0</v>
      </c>
    </row>
    <row r="42" spans="1:3" x14ac:dyDescent="0.25">
      <c r="A42" s="1" t="s">
        <v>33</v>
      </c>
      <c r="B42" t="s">
        <v>43</v>
      </c>
      <c r="C42">
        <v>0</v>
      </c>
    </row>
    <row r="43" spans="1:3" x14ac:dyDescent="0.25">
      <c r="A43" s="1" t="s">
        <v>34</v>
      </c>
      <c r="B43" t="s">
        <v>43</v>
      </c>
      <c r="C43">
        <v>0</v>
      </c>
    </row>
    <row r="44" spans="1:3" x14ac:dyDescent="0.25">
      <c r="A44" s="1" t="s">
        <v>35</v>
      </c>
      <c r="B44" t="s">
        <v>43</v>
      </c>
      <c r="C44">
        <v>0</v>
      </c>
    </row>
    <row r="45" spans="1:3" x14ac:dyDescent="0.25">
      <c r="A45" s="1" t="s">
        <v>36</v>
      </c>
      <c r="B45" t="s">
        <v>43</v>
      </c>
      <c r="C45">
        <v>0</v>
      </c>
    </row>
    <row r="46" spans="1:3" x14ac:dyDescent="0.25">
      <c r="A46" s="1" t="s">
        <v>37</v>
      </c>
      <c r="B46" t="s">
        <v>43</v>
      </c>
      <c r="C46">
        <v>0</v>
      </c>
    </row>
    <row r="47" spans="1:3" x14ac:dyDescent="0.25">
      <c r="A47" s="1" t="s">
        <v>38</v>
      </c>
      <c r="B47" t="s">
        <v>43</v>
      </c>
      <c r="C47">
        <v>0</v>
      </c>
    </row>
    <row r="48" spans="1:3" x14ac:dyDescent="0.25">
      <c r="A48" s="1" t="s">
        <v>39</v>
      </c>
      <c r="B48" t="s">
        <v>43</v>
      </c>
      <c r="C48">
        <v>0</v>
      </c>
    </row>
    <row r="49" spans="1:3" x14ac:dyDescent="0.25">
      <c r="A49" s="1" t="s">
        <v>40</v>
      </c>
      <c r="B49" t="s">
        <v>43</v>
      </c>
      <c r="C49">
        <v>0</v>
      </c>
    </row>
  </sheetData>
  <sheetProtection sheet="1" objects="1" scenarios="1"/>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2:G32"/>
  <sheetViews>
    <sheetView workbookViewId="0">
      <selection activeCell="F13" sqref="F13"/>
    </sheetView>
  </sheetViews>
  <sheetFormatPr defaultRowHeight="15" x14ac:dyDescent="0.25"/>
  <cols>
    <col min="1" max="1" width="13.7109375" customWidth="1"/>
    <col min="2" max="5" width="14.42578125" customWidth="1"/>
    <col min="6" max="6" width="7.28515625" customWidth="1"/>
    <col min="7" max="8" width="14.28515625" customWidth="1"/>
    <col min="9" max="12" width="14" customWidth="1"/>
  </cols>
  <sheetData>
    <row r="2" spans="1:5" x14ac:dyDescent="0.25">
      <c r="A2" t="s">
        <v>70</v>
      </c>
      <c r="B2" s="7">
        <v>351</v>
      </c>
    </row>
    <row r="4" spans="1:5" x14ac:dyDescent="0.25">
      <c r="A4" t="s">
        <v>72</v>
      </c>
    </row>
    <row r="5" spans="1:5" x14ac:dyDescent="0.25">
      <c r="B5">
        <v>1</v>
      </c>
      <c r="C5">
        <v>2</v>
      </c>
      <c r="D5">
        <v>3</v>
      </c>
    </row>
    <row r="6" spans="1:5" x14ac:dyDescent="0.25">
      <c r="A6">
        <v>50</v>
      </c>
      <c r="B6" s="7">
        <v>32000</v>
      </c>
      <c r="C6" s="7">
        <v>36600</v>
      </c>
      <c r="D6" s="7">
        <v>41150</v>
      </c>
    </row>
    <row r="7" spans="1:5" x14ac:dyDescent="0.25">
      <c r="A7">
        <v>80</v>
      </c>
      <c r="B7" s="7">
        <f>B6*1.6</f>
        <v>51200</v>
      </c>
      <c r="C7" s="7">
        <f>C6*1.6</f>
        <v>58560</v>
      </c>
      <c r="D7" s="7">
        <f>D6*1.6</f>
        <v>65840</v>
      </c>
    </row>
    <row r="8" spans="1:5" x14ac:dyDescent="0.25">
      <c r="A8">
        <v>120</v>
      </c>
      <c r="B8" s="7">
        <f>B6*2.4</f>
        <v>76800</v>
      </c>
      <c r="C8" s="7">
        <f>C6*2.4</f>
        <v>87840</v>
      </c>
      <c r="D8" s="7">
        <f>D6*2.4</f>
        <v>98760</v>
      </c>
    </row>
    <row r="9" spans="1:5" x14ac:dyDescent="0.25">
      <c r="A9">
        <v>200</v>
      </c>
      <c r="B9" s="7">
        <f>B6*4</f>
        <v>128000</v>
      </c>
      <c r="C9" s="7">
        <f>C6*4</f>
        <v>146400</v>
      </c>
      <c r="D9" s="7">
        <f>D6*4</f>
        <v>164600</v>
      </c>
    </row>
    <row r="10" spans="1:5" x14ac:dyDescent="0.25">
      <c r="A10" t="s">
        <v>76</v>
      </c>
      <c r="B10">
        <v>750</v>
      </c>
      <c r="C10">
        <v>1050</v>
      </c>
      <c r="D10">
        <v>1350</v>
      </c>
      <c r="E10" s="7"/>
    </row>
    <row r="11" spans="1:5" x14ac:dyDescent="0.25">
      <c r="E11" s="7"/>
    </row>
    <row r="12" spans="1:5" x14ac:dyDescent="0.25">
      <c r="A12" t="s">
        <v>73</v>
      </c>
      <c r="E12" s="7"/>
    </row>
    <row r="13" spans="1:5" x14ac:dyDescent="0.25">
      <c r="B13">
        <v>1</v>
      </c>
      <c r="C13">
        <v>2</v>
      </c>
      <c r="D13">
        <v>3</v>
      </c>
    </row>
    <row r="14" spans="1:5" x14ac:dyDescent="0.25">
      <c r="A14">
        <v>50</v>
      </c>
      <c r="B14" s="9">
        <f>0.6*B6*0.3</f>
        <v>5760</v>
      </c>
      <c r="C14" s="9">
        <f t="shared" ref="C14:D14" si="0">0.6*C6*0.3</f>
        <v>6588</v>
      </c>
      <c r="D14" s="9">
        <f t="shared" si="0"/>
        <v>7407</v>
      </c>
    </row>
    <row r="15" spans="1:5" x14ac:dyDescent="0.25">
      <c r="A15">
        <v>80</v>
      </c>
      <c r="B15" s="9">
        <f>B6*0.3</f>
        <v>9600</v>
      </c>
      <c r="C15" s="9">
        <f t="shared" ref="C15:D15" si="1">C6*0.3</f>
        <v>10980</v>
      </c>
      <c r="D15" s="9">
        <f t="shared" si="1"/>
        <v>12345</v>
      </c>
    </row>
    <row r="16" spans="1:5" x14ac:dyDescent="0.25">
      <c r="A16">
        <v>120</v>
      </c>
      <c r="B16" s="9">
        <f t="shared" ref="B16:D16" si="2">B7*0.3</f>
        <v>15360</v>
      </c>
      <c r="C16" s="9">
        <f t="shared" si="2"/>
        <v>17568</v>
      </c>
      <c r="D16" s="9">
        <f t="shared" si="2"/>
        <v>19752</v>
      </c>
    </row>
    <row r="17" spans="1:7" x14ac:dyDescent="0.25">
      <c r="A17">
        <v>200</v>
      </c>
      <c r="B17" s="9">
        <f t="shared" ref="B17:D17" si="3">B8*0.3</f>
        <v>23040</v>
      </c>
      <c r="C17" s="9">
        <f t="shared" si="3"/>
        <v>26352</v>
      </c>
      <c r="D17" s="9">
        <f t="shared" si="3"/>
        <v>29628</v>
      </c>
    </row>
    <row r="18" spans="1:7" x14ac:dyDescent="0.25">
      <c r="A18" t="s">
        <v>74</v>
      </c>
      <c r="B18">
        <v>0.08</v>
      </c>
      <c r="E18" s="7"/>
    </row>
    <row r="19" spans="1:7" x14ac:dyDescent="0.25">
      <c r="E19" s="7"/>
    </row>
    <row r="20" spans="1:7" x14ac:dyDescent="0.25">
      <c r="A20" t="s">
        <v>75</v>
      </c>
      <c r="E20" s="7"/>
    </row>
    <row r="21" spans="1:7" x14ac:dyDescent="0.25">
      <c r="B21">
        <v>1</v>
      </c>
      <c r="C21">
        <v>2</v>
      </c>
      <c r="D21">
        <v>3</v>
      </c>
    </row>
    <row r="22" spans="1:7" x14ac:dyDescent="0.25">
      <c r="A22">
        <v>50</v>
      </c>
      <c r="B22" s="9">
        <f>0.6*B6*3.33</f>
        <v>63936</v>
      </c>
      <c r="C22" s="9">
        <f t="shared" ref="C22:D22" si="4">0.6*C6*3.33</f>
        <v>73126.8</v>
      </c>
      <c r="D22" s="9">
        <f t="shared" si="4"/>
        <v>82217.7</v>
      </c>
    </row>
    <row r="23" spans="1:7" x14ac:dyDescent="0.25">
      <c r="A23">
        <v>80</v>
      </c>
      <c r="B23" s="7">
        <f>(B6+B7)/2*3.33</f>
        <v>138528</v>
      </c>
      <c r="C23" s="7">
        <f t="shared" ref="C23:D23" si="5">(C6+C7)/2*3.33</f>
        <v>158441.4</v>
      </c>
      <c r="D23" s="7">
        <f t="shared" si="5"/>
        <v>178138.35</v>
      </c>
    </row>
    <row r="24" spans="1:7" x14ac:dyDescent="0.25">
      <c r="A24">
        <v>120</v>
      </c>
      <c r="B24" s="7">
        <f t="shared" ref="B24:D24" si="6">(B7+B8)/2*3.33</f>
        <v>213120</v>
      </c>
      <c r="C24" s="7">
        <f t="shared" si="6"/>
        <v>243756</v>
      </c>
      <c r="D24" s="7">
        <f t="shared" si="6"/>
        <v>274059</v>
      </c>
      <c r="E24" s="7"/>
    </row>
    <row r="25" spans="1:7" x14ac:dyDescent="0.25">
      <c r="A25">
        <v>200</v>
      </c>
      <c r="B25" s="7">
        <f t="shared" ref="B25:D25" si="7">(B8+B9)/2*3.33</f>
        <v>340992</v>
      </c>
      <c r="C25" s="7">
        <f t="shared" si="7"/>
        <v>390009.60000000003</v>
      </c>
      <c r="D25" s="7">
        <f t="shared" si="7"/>
        <v>438494.4</v>
      </c>
      <c r="E25" s="7"/>
    </row>
    <row r="26" spans="1:7" x14ac:dyDescent="0.25">
      <c r="E26" s="7"/>
    </row>
    <row r="27" spans="1:7" x14ac:dyDescent="0.25">
      <c r="A27" t="s">
        <v>77</v>
      </c>
      <c r="G27" s="9"/>
    </row>
    <row r="28" spans="1:7" x14ac:dyDescent="0.25">
      <c r="B28">
        <v>1</v>
      </c>
      <c r="C28">
        <v>2</v>
      </c>
      <c r="D28">
        <v>3</v>
      </c>
      <c r="G28" s="9"/>
    </row>
    <row r="29" spans="1:7" x14ac:dyDescent="0.25">
      <c r="A29">
        <v>50</v>
      </c>
      <c r="B29" s="9">
        <f>B$10*$B$2-B14/$B$18</f>
        <v>191250</v>
      </c>
      <c r="C29" s="9">
        <f>C$10*$B$2-C14/$B$18</f>
        <v>286200</v>
      </c>
      <c r="D29" s="9">
        <f>D$10*$B$2-D14/$B$18</f>
        <v>381262.5</v>
      </c>
      <c r="E29" s="7"/>
      <c r="G29" s="9"/>
    </row>
    <row r="30" spans="1:7" x14ac:dyDescent="0.25">
      <c r="A30">
        <v>80</v>
      </c>
      <c r="B30" s="9">
        <f>B$10*$B$2-B15/$B$18</f>
        <v>143250</v>
      </c>
      <c r="C30" s="9">
        <f>C$10*$B$2-C15/$B$18</f>
        <v>231300</v>
      </c>
      <c r="D30" s="9">
        <f>D$10*$B$2-D15/$B$18</f>
        <v>319537.5</v>
      </c>
      <c r="E30" s="7"/>
    </row>
    <row r="31" spans="1:7" x14ac:dyDescent="0.25">
      <c r="A31">
        <v>120</v>
      </c>
      <c r="B31" s="7">
        <f>B$10*$B$2-B24</f>
        <v>50130</v>
      </c>
      <c r="C31" s="7">
        <f>C$10*$B$2-C24</f>
        <v>124794</v>
      </c>
      <c r="D31" s="7">
        <f>D$10*$B$2-D24</f>
        <v>199791</v>
      </c>
      <c r="E31" s="7"/>
    </row>
    <row r="32" spans="1:7" x14ac:dyDescent="0.25">
      <c r="A32">
        <v>200</v>
      </c>
      <c r="B32" s="7">
        <f>B$10*$B$2-B25</f>
        <v>-77742</v>
      </c>
      <c r="C32" s="7">
        <f>C$10*$B$2-C25</f>
        <v>-21459.600000000035</v>
      </c>
      <c r="D32" s="7">
        <f>D$10*$B$2-D25</f>
        <v>35355.599999999977</v>
      </c>
      <c r="E32" s="9"/>
    </row>
  </sheetData>
  <sheetProtection sheet="1" objects="1" scenarios="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2:M37"/>
  <sheetViews>
    <sheetView topLeftCell="A4" workbookViewId="0">
      <selection activeCell="M32" sqref="M32"/>
    </sheetView>
  </sheetViews>
  <sheetFormatPr defaultRowHeight="15" x14ac:dyDescent="0.25"/>
  <cols>
    <col min="1" max="1" width="3.5703125" style="18" customWidth="1"/>
    <col min="2" max="2" width="32.140625" customWidth="1"/>
    <col min="3" max="10" width="13.5703125" customWidth="1"/>
    <col min="11" max="12" width="13.5703125" style="10" customWidth="1"/>
    <col min="13" max="13" width="10.85546875" customWidth="1"/>
    <col min="14" max="15" width="13" customWidth="1"/>
    <col min="16" max="19" width="11" customWidth="1"/>
    <col min="20" max="21" width="13" customWidth="1"/>
    <col min="22" max="25" width="11" customWidth="1"/>
    <col min="26" max="27" width="13" customWidth="1"/>
    <col min="28" max="28" width="12.5703125" customWidth="1"/>
    <col min="29" max="29" width="8.85546875" customWidth="1"/>
    <col min="30" max="30" width="13.85546875" customWidth="1"/>
  </cols>
  <sheetData>
    <row r="2" spans="1:13" x14ac:dyDescent="0.25">
      <c r="B2" s="3"/>
      <c r="C2" t="s">
        <v>10</v>
      </c>
      <c r="D2" t="s">
        <v>12</v>
      </c>
      <c r="E2" t="s">
        <v>9</v>
      </c>
      <c r="F2" t="s">
        <v>80</v>
      </c>
      <c r="G2" t="s">
        <v>79</v>
      </c>
      <c r="H2" t="s">
        <v>81</v>
      </c>
      <c r="I2" t="s">
        <v>99</v>
      </c>
      <c r="J2" t="s">
        <v>100</v>
      </c>
      <c r="K2" t="s">
        <v>101</v>
      </c>
      <c r="L2" t="s">
        <v>102</v>
      </c>
    </row>
    <row r="3" spans="1:13" x14ac:dyDescent="0.25">
      <c r="A3" s="18" t="s">
        <v>71</v>
      </c>
      <c r="B3" s="3"/>
      <c r="K3"/>
      <c r="L3"/>
    </row>
    <row r="4" spans="1:13" x14ac:dyDescent="0.25">
      <c r="B4" s="3" t="s">
        <v>89</v>
      </c>
      <c r="C4">
        <v>1.234</v>
      </c>
      <c r="D4">
        <v>1.234</v>
      </c>
      <c r="E4">
        <v>1.234</v>
      </c>
      <c r="F4">
        <v>0.51400000000000001</v>
      </c>
      <c r="G4">
        <v>0.92700000000000005</v>
      </c>
      <c r="H4">
        <v>1.234</v>
      </c>
      <c r="I4">
        <v>1.234</v>
      </c>
      <c r="J4">
        <v>1.234</v>
      </c>
      <c r="K4">
        <v>1.234</v>
      </c>
      <c r="L4">
        <v>1.234</v>
      </c>
    </row>
    <row r="5" spans="1:13" x14ac:dyDescent="0.25">
      <c r="B5" s="3" t="s">
        <v>90</v>
      </c>
      <c r="H5">
        <v>900</v>
      </c>
      <c r="K5"/>
      <c r="L5"/>
    </row>
    <row r="6" spans="1:13" x14ac:dyDescent="0.25">
      <c r="B6" s="3" t="s">
        <v>88</v>
      </c>
      <c r="C6">
        <v>30</v>
      </c>
      <c r="D6">
        <v>30</v>
      </c>
      <c r="E6">
        <v>30</v>
      </c>
      <c r="F6">
        <v>30</v>
      </c>
      <c r="G6">
        <v>30</v>
      </c>
      <c r="H6">
        <v>30</v>
      </c>
      <c r="I6">
        <v>30</v>
      </c>
      <c r="J6">
        <v>30</v>
      </c>
      <c r="K6">
        <v>30</v>
      </c>
      <c r="L6">
        <v>30</v>
      </c>
    </row>
    <row r="7" spans="1:13" x14ac:dyDescent="0.25">
      <c r="B7" s="3" t="s">
        <v>85</v>
      </c>
      <c r="C7" s="14">
        <f>C4/C6</f>
        <v>4.1133333333333334E-2</v>
      </c>
      <c r="D7" s="14">
        <f>D4/D6</f>
        <v>4.1133333333333334E-2</v>
      </c>
      <c r="E7" s="14">
        <f>E4/E6</f>
        <v>4.1133333333333334E-2</v>
      </c>
      <c r="F7" s="14">
        <f>F4/F6</f>
        <v>1.7133333333333334E-2</v>
      </c>
      <c r="G7" s="14">
        <f>G4/G6</f>
        <v>3.09E-2</v>
      </c>
      <c r="H7" s="14">
        <f>H4/H6*H5/1000</f>
        <v>3.7020000000000004E-2</v>
      </c>
      <c r="I7" s="14">
        <f>I4/I6</f>
        <v>4.1133333333333334E-2</v>
      </c>
      <c r="J7" s="14">
        <f>J4/J6</f>
        <v>4.1133333333333334E-2</v>
      </c>
      <c r="K7" s="14">
        <f>K4/K6</f>
        <v>4.1133333333333334E-2</v>
      </c>
      <c r="L7" s="14">
        <f>L4/L6</f>
        <v>4.1133333333333334E-2</v>
      </c>
    </row>
    <row r="8" spans="1:13" x14ac:dyDescent="0.25">
      <c r="B8" s="12" t="s">
        <v>82</v>
      </c>
      <c r="C8">
        <v>1.774</v>
      </c>
      <c r="D8">
        <v>1.774</v>
      </c>
      <c r="E8">
        <v>1.774</v>
      </c>
      <c r="F8">
        <v>1.774</v>
      </c>
      <c r="G8">
        <v>1.774</v>
      </c>
      <c r="H8">
        <v>1.774</v>
      </c>
      <c r="I8">
        <v>1.774</v>
      </c>
      <c r="J8">
        <v>1.774</v>
      </c>
      <c r="K8">
        <v>1.774</v>
      </c>
      <c r="L8">
        <v>1.774</v>
      </c>
    </row>
    <row r="9" spans="1:13" x14ac:dyDescent="0.25">
      <c r="B9" s="12" t="s">
        <v>98</v>
      </c>
      <c r="C9" s="16">
        <v>0.28870000000000001</v>
      </c>
      <c r="D9" s="16">
        <v>0.28870000000000001</v>
      </c>
      <c r="E9" s="16">
        <v>0.28870000000000001</v>
      </c>
      <c r="F9" s="16">
        <v>0.28870000000000001</v>
      </c>
      <c r="G9" s="16">
        <v>0.28870000000000001</v>
      </c>
      <c r="H9" s="16">
        <v>0.28870000000000001</v>
      </c>
      <c r="I9" s="16">
        <v>0.28870000000000001</v>
      </c>
      <c r="J9" s="16">
        <v>0.28870000000000001</v>
      </c>
      <c r="K9" s="16">
        <v>0.28870000000000001</v>
      </c>
      <c r="L9" s="16">
        <v>0.28870000000000001</v>
      </c>
    </row>
    <row r="10" spans="1:13" x14ac:dyDescent="0.25">
      <c r="B10" s="3" t="s">
        <v>86</v>
      </c>
      <c r="C10" s="14">
        <f t="shared" ref="C10:L10" si="0">C7/C8*(1-C9)</f>
        <v>1.6492750845546789E-2</v>
      </c>
      <c r="D10" s="14">
        <f t="shared" si="0"/>
        <v>1.6492750845546789E-2</v>
      </c>
      <c r="E10" s="14">
        <f t="shared" si="0"/>
        <v>1.6492750845546789E-2</v>
      </c>
      <c r="F10" s="14">
        <f t="shared" si="0"/>
        <v>6.8697519729425038E-3</v>
      </c>
      <c r="G10" s="14">
        <f t="shared" si="0"/>
        <v>1.2389611048478017E-2</v>
      </c>
      <c r="H10" s="14">
        <f t="shared" si="0"/>
        <v>1.4843475760992111E-2</v>
      </c>
      <c r="I10" s="14">
        <f t="shared" si="0"/>
        <v>1.6492750845546789E-2</v>
      </c>
      <c r="J10" s="14">
        <f t="shared" si="0"/>
        <v>1.6492750845546789E-2</v>
      </c>
      <c r="K10" s="14">
        <f t="shared" si="0"/>
        <v>1.6492750845546789E-2</v>
      </c>
      <c r="L10" s="14">
        <f t="shared" si="0"/>
        <v>1.6492750845546789E-2</v>
      </c>
    </row>
    <row r="11" spans="1:13" x14ac:dyDescent="0.25">
      <c r="B11" s="3" t="s">
        <v>83</v>
      </c>
      <c r="C11" s="7">
        <v>108355</v>
      </c>
      <c r="D11" s="7">
        <v>108355</v>
      </c>
      <c r="E11" s="7">
        <v>108355</v>
      </c>
      <c r="F11" s="7">
        <v>108355</v>
      </c>
      <c r="G11" s="7">
        <v>108355</v>
      </c>
      <c r="H11" s="7">
        <v>108355</v>
      </c>
      <c r="I11" s="7">
        <v>108355</v>
      </c>
      <c r="J11" s="7">
        <v>108355</v>
      </c>
      <c r="K11" s="7">
        <v>108355</v>
      </c>
      <c r="L11" s="7">
        <v>108355</v>
      </c>
    </row>
    <row r="12" spans="1:13" x14ac:dyDescent="0.25">
      <c r="B12" s="3" t="s">
        <v>87</v>
      </c>
      <c r="C12" s="7">
        <f t="shared" ref="C12:L12" si="1">C11*C10</f>
        <v>1787.0720178692225</v>
      </c>
      <c r="D12" s="7">
        <f t="shared" si="1"/>
        <v>1787.0720178692225</v>
      </c>
      <c r="E12" s="7">
        <f t="shared" si="1"/>
        <v>1787.0720178692225</v>
      </c>
      <c r="F12" s="7">
        <f t="shared" si="1"/>
        <v>744.37197502818503</v>
      </c>
      <c r="G12" s="7">
        <f t="shared" si="1"/>
        <v>1342.4763051578354</v>
      </c>
      <c r="H12" s="7">
        <f t="shared" si="1"/>
        <v>1608.3648160823002</v>
      </c>
      <c r="I12" s="7">
        <f t="shared" si="1"/>
        <v>1787.0720178692225</v>
      </c>
      <c r="J12" s="7">
        <f t="shared" si="1"/>
        <v>1787.0720178692225</v>
      </c>
      <c r="K12" s="7">
        <f t="shared" si="1"/>
        <v>1787.0720178692225</v>
      </c>
      <c r="L12" s="7">
        <f t="shared" si="1"/>
        <v>1787.0720178692225</v>
      </c>
    </row>
    <row r="13" spans="1:13" x14ac:dyDescent="0.25">
      <c r="A13" s="18" t="s">
        <v>84</v>
      </c>
      <c r="B13" s="3"/>
      <c r="C13" s="7"/>
      <c r="D13" s="7"/>
      <c r="E13" s="7"/>
      <c r="F13" s="7"/>
      <c r="G13" s="7"/>
      <c r="H13" s="7"/>
      <c r="I13" s="7"/>
      <c r="J13" s="7"/>
      <c r="K13" s="7"/>
      <c r="L13" s="7"/>
    </row>
    <row r="14" spans="1:13" x14ac:dyDescent="0.25">
      <c r="B14" s="3" t="s">
        <v>85</v>
      </c>
      <c r="C14">
        <v>1.202</v>
      </c>
      <c r="D14">
        <v>3.911</v>
      </c>
      <c r="E14">
        <v>1.5980000000000001</v>
      </c>
      <c r="F14">
        <v>0.71</v>
      </c>
      <c r="G14">
        <v>1.5980000000000001</v>
      </c>
      <c r="H14">
        <v>0.48699999999999999</v>
      </c>
      <c r="K14"/>
      <c r="L14"/>
    </row>
    <row r="15" spans="1:13" x14ac:dyDescent="0.25">
      <c r="A15" s="19"/>
      <c r="B15" s="12" t="s">
        <v>82</v>
      </c>
      <c r="C15" s="10">
        <v>1.706</v>
      </c>
      <c r="D15" s="10">
        <v>2</v>
      </c>
      <c r="E15" s="10">
        <v>1.6779999999999999</v>
      </c>
      <c r="F15" s="10">
        <v>1.6519999999999999</v>
      </c>
      <c r="G15" s="10">
        <v>1.6779999999999999</v>
      </c>
      <c r="H15" s="10">
        <v>2</v>
      </c>
      <c r="I15" s="11">
        <v>1.7130000000000001</v>
      </c>
      <c r="J15" s="11">
        <v>1.7130000000000001</v>
      </c>
      <c r="K15" s="11">
        <v>1.7130000000000001</v>
      </c>
      <c r="L15" s="11">
        <v>1.7130000000000001</v>
      </c>
      <c r="M15" s="14">
        <f>L15/(1-L16)</f>
        <v>2.1755143510287023</v>
      </c>
    </row>
    <row r="16" spans="1:13" x14ac:dyDescent="0.25">
      <c r="A16" s="19"/>
      <c r="B16" s="12" t="s">
        <v>97</v>
      </c>
      <c r="C16" s="16">
        <v>0.21299999999999999</v>
      </c>
      <c r="D16" s="16">
        <v>0.19650000000000001</v>
      </c>
      <c r="E16" s="16">
        <v>0.33139999999999997</v>
      </c>
      <c r="F16" s="16">
        <v>0.26079999999999998</v>
      </c>
      <c r="G16" s="16">
        <v>0.28179999999999999</v>
      </c>
      <c r="H16" s="16">
        <v>0.22869999999999999</v>
      </c>
      <c r="I16" s="17">
        <v>0.21260000000000001</v>
      </c>
      <c r="J16" s="17">
        <v>0.21260000000000001</v>
      </c>
      <c r="K16" s="17">
        <v>0.21260000000000001</v>
      </c>
      <c r="L16" s="17">
        <v>0.21260000000000001</v>
      </c>
    </row>
    <row r="17" spans="1:13" x14ac:dyDescent="0.25">
      <c r="B17" s="3" t="s">
        <v>86</v>
      </c>
      <c r="C17" s="14">
        <f t="shared" ref="C17:H17" si="2">C14/C15*(1-C16)</f>
        <v>0.55449824150058613</v>
      </c>
      <c r="D17" s="14">
        <f t="shared" si="2"/>
        <v>1.5712442499999999</v>
      </c>
      <c r="E17" s="14">
        <f t="shared" si="2"/>
        <v>0.63672395709177598</v>
      </c>
      <c r="F17" s="14">
        <f t="shared" si="2"/>
        <v>0.31769491525423732</v>
      </c>
      <c r="G17" s="14">
        <f t="shared" si="2"/>
        <v>0.68395923718712748</v>
      </c>
      <c r="H17" s="14">
        <f t="shared" si="2"/>
        <v>0.18781154999999999</v>
      </c>
      <c r="J17" s="7"/>
      <c r="K17"/>
      <c r="L17"/>
    </row>
    <row r="18" spans="1:13" x14ac:dyDescent="0.25">
      <c r="B18" s="3" t="s">
        <v>83</v>
      </c>
      <c r="C18" s="7">
        <v>181563</v>
      </c>
      <c r="D18" s="9">
        <v>146297</v>
      </c>
      <c r="E18" s="9">
        <v>107939</v>
      </c>
      <c r="F18" s="9">
        <v>129597</v>
      </c>
      <c r="G18" s="9">
        <v>132303</v>
      </c>
      <c r="H18" s="9">
        <v>146297</v>
      </c>
      <c r="I18" s="9">
        <v>169328</v>
      </c>
      <c r="J18" s="9">
        <v>169328</v>
      </c>
      <c r="K18" s="9">
        <v>169328</v>
      </c>
      <c r="L18" s="9">
        <v>169328</v>
      </c>
    </row>
    <row r="19" spans="1:13" x14ac:dyDescent="0.25">
      <c r="B19" s="3" t="s">
        <v>87</v>
      </c>
      <c r="C19" s="7">
        <f t="shared" ref="C19:H19" si="3">C18*C17</f>
        <v>100676.36422157093</v>
      </c>
      <c r="D19" s="7">
        <f t="shared" si="3"/>
        <v>229868.32004224998</v>
      </c>
      <c r="E19" s="7">
        <f t="shared" si="3"/>
        <v>68727.347204529215</v>
      </c>
      <c r="F19" s="7">
        <f t="shared" si="3"/>
        <v>41172.307932203395</v>
      </c>
      <c r="G19" s="7">
        <f t="shared" si="3"/>
        <v>90489.858957568533</v>
      </c>
      <c r="H19" s="7">
        <f t="shared" si="3"/>
        <v>27476.266330349998</v>
      </c>
      <c r="J19" s="7"/>
      <c r="K19"/>
      <c r="L19"/>
    </row>
    <row r="20" spans="1:13" x14ac:dyDescent="0.25">
      <c r="A20" s="18" t="s">
        <v>95</v>
      </c>
      <c r="B20" s="3"/>
      <c r="C20" s="7"/>
      <c r="D20" s="7"/>
      <c r="E20" s="7"/>
      <c r="F20" s="7"/>
      <c r="G20" s="7"/>
      <c r="H20" s="7"/>
      <c r="J20" s="7"/>
      <c r="K20"/>
      <c r="L20"/>
    </row>
    <row r="21" spans="1:13" x14ac:dyDescent="0.25">
      <c r="B21" s="3" t="s">
        <v>91</v>
      </c>
      <c r="C21" s="13">
        <f t="shared" ref="C21:H21" si="4">12/11950.412</f>
        <v>1.0041494803693797E-3</v>
      </c>
      <c r="D21" s="13">
        <f t="shared" si="4"/>
        <v>1.0041494803693797E-3</v>
      </c>
      <c r="E21" s="13">
        <f t="shared" si="4"/>
        <v>1.0041494803693797E-3</v>
      </c>
      <c r="F21" s="13">
        <f t="shared" si="4"/>
        <v>1.0041494803693797E-3</v>
      </c>
      <c r="G21" s="13">
        <f t="shared" si="4"/>
        <v>1.0041494803693797E-3</v>
      </c>
      <c r="H21" s="13">
        <f t="shared" si="4"/>
        <v>1.0041494803693797E-3</v>
      </c>
      <c r="I21" s="13">
        <f>9/27201.802</f>
        <v>3.3086043343746126E-4</v>
      </c>
      <c r="J21" s="13">
        <f t="shared" ref="J21:L21" si="5">9/27201.802</f>
        <v>3.3086043343746126E-4</v>
      </c>
      <c r="K21" s="13">
        <f t="shared" si="5"/>
        <v>3.3086043343746126E-4</v>
      </c>
      <c r="L21" s="13">
        <f t="shared" si="5"/>
        <v>3.3086043343746126E-4</v>
      </c>
    </row>
    <row r="22" spans="1:13" x14ac:dyDescent="0.25">
      <c r="B22" s="3" t="s">
        <v>82</v>
      </c>
      <c r="C22">
        <v>1.7969999999999999</v>
      </c>
      <c r="D22">
        <v>1.7969999999999999</v>
      </c>
      <c r="E22">
        <v>1.7969999999999999</v>
      </c>
      <c r="F22">
        <v>1.7969999999999999</v>
      </c>
      <c r="G22">
        <v>1.7969999999999999</v>
      </c>
      <c r="H22">
        <v>1.7969999999999999</v>
      </c>
      <c r="I22">
        <v>1.7969999999999999</v>
      </c>
      <c r="J22">
        <v>1.7969999999999999</v>
      </c>
      <c r="K22">
        <v>1.7969999999999999</v>
      </c>
      <c r="L22">
        <v>1.7969999999999999</v>
      </c>
      <c r="M22" s="14"/>
    </row>
    <row r="23" spans="1:13" x14ac:dyDescent="0.25">
      <c r="B23" s="3" t="s">
        <v>98</v>
      </c>
      <c r="C23" s="16">
        <v>0.25559999999999999</v>
      </c>
      <c r="D23" s="16">
        <v>0.25559999999999999</v>
      </c>
      <c r="E23" s="16">
        <v>0.25559999999999999</v>
      </c>
      <c r="F23" s="16">
        <v>0.25559999999999999</v>
      </c>
      <c r="G23" s="16">
        <v>0.25559999999999999</v>
      </c>
      <c r="H23" s="16">
        <v>0.25559999999999999</v>
      </c>
      <c r="I23" s="16">
        <v>0.25559999999999999</v>
      </c>
      <c r="J23" s="16">
        <v>0.25559999999999999</v>
      </c>
      <c r="K23" s="16">
        <v>0.25559999999999999</v>
      </c>
      <c r="L23" s="16">
        <v>0.25559999999999999</v>
      </c>
    </row>
    <row r="24" spans="1:13" x14ac:dyDescent="0.25">
      <c r="B24" s="3" t="s">
        <v>92</v>
      </c>
      <c r="C24" s="13">
        <f t="shared" ref="C24:H24" si="6">C21/C22*(1-C23)</f>
        <v>4.1596487099998124E-4</v>
      </c>
      <c r="D24" s="13">
        <f t="shared" si="6"/>
        <v>4.1596487099998124E-4</v>
      </c>
      <c r="E24" s="13">
        <f t="shared" si="6"/>
        <v>4.1596487099998124E-4</v>
      </c>
      <c r="F24" s="13">
        <f t="shared" si="6"/>
        <v>4.1596487099998124E-4</v>
      </c>
      <c r="G24" s="13">
        <f t="shared" si="6"/>
        <v>4.1596487099998124E-4</v>
      </c>
      <c r="H24" s="13">
        <f t="shared" si="6"/>
        <v>4.1596487099998124E-4</v>
      </c>
      <c r="I24" s="13">
        <f t="shared" ref="I24:L24" si="7">I21/I22*(1-I23)</f>
        <v>1.3705759969440519E-4</v>
      </c>
      <c r="J24" s="13">
        <f t="shared" si="7"/>
        <v>1.3705759969440519E-4</v>
      </c>
      <c r="K24" s="13">
        <f t="shared" si="7"/>
        <v>1.3705759969440519E-4</v>
      </c>
      <c r="L24" s="13">
        <f t="shared" si="7"/>
        <v>1.3705759969440519E-4</v>
      </c>
    </row>
    <row r="25" spans="1:13" x14ac:dyDescent="0.25">
      <c r="B25" s="3" t="s">
        <v>83</v>
      </c>
      <c r="C25" s="7">
        <v>97436</v>
      </c>
      <c r="D25" s="7">
        <v>97436</v>
      </c>
      <c r="E25" s="7">
        <v>97436</v>
      </c>
      <c r="F25" s="7">
        <v>97436</v>
      </c>
      <c r="G25" s="7">
        <v>97436</v>
      </c>
      <c r="H25" s="7">
        <v>97436</v>
      </c>
      <c r="I25" s="7">
        <v>97436</v>
      </c>
      <c r="J25" s="7">
        <v>97436</v>
      </c>
      <c r="K25" s="7">
        <v>97436</v>
      </c>
      <c r="L25" s="7">
        <v>97436</v>
      </c>
    </row>
    <row r="26" spans="1:13" x14ac:dyDescent="0.25">
      <c r="B26" s="3" t="s">
        <v>87</v>
      </c>
      <c r="C26" s="7">
        <f t="shared" ref="C26:H26" si="8">C24*C25</f>
        <v>40.529953170754169</v>
      </c>
      <c r="D26" s="7">
        <f t="shared" si="8"/>
        <v>40.529953170754169</v>
      </c>
      <c r="E26" s="7">
        <f t="shared" si="8"/>
        <v>40.529953170754169</v>
      </c>
      <c r="F26" s="7">
        <f t="shared" si="8"/>
        <v>40.529953170754169</v>
      </c>
      <c r="G26" s="7">
        <f t="shared" si="8"/>
        <v>40.529953170754169</v>
      </c>
      <c r="H26" s="7">
        <f t="shared" si="8"/>
        <v>40.529953170754169</v>
      </c>
      <c r="I26" s="7">
        <f t="shared" ref="I26:L26" si="9">I24*I25</f>
        <v>13.354344283824064</v>
      </c>
      <c r="J26" s="7">
        <f t="shared" si="9"/>
        <v>13.354344283824064</v>
      </c>
      <c r="K26" s="7">
        <f t="shared" si="9"/>
        <v>13.354344283824064</v>
      </c>
      <c r="L26" s="7">
        <f t="shared" si="9"/>
        <v>13.354344283824064</v>
      </c>
    </row>
    <row r="27" spans="1:13" x14ac:dyDescent="0.25">
      <c r="A27" s="18" t="s">
        <v>96</v>
      </c>
      <c r="B27" s="3"/>
      <c r="C27" s="7"/>
      <c r="D27" s="7"/>
      <c r="E27" s="7"/>
      <c r="F27" s="7"/>
      <c r="G27" s="7"/>
      <c r="H27" s="7"/>
      <c r="K27"/>
      <c r="L27"/>
    </row>
    <row r="28" spans="1:13" x14ac:dyDescent="0.25">
      <c r="B28" s="3" t="s">
        <v>93</v>
      </c>
      <c r="C28" s="13">
        <f t="shared" ref="C28:H28" si="10">36/11950.412</f>
        <v>3.0124484411081392E-3</v>
      </c>
      <c r="D28" s="13">
        <f t="shared" si="10"/>
        <v>3.0124484411081392E-3</v>
      </c>
      <c r="E28" s="13">
        <f t="shared" si="10"/>
        <v>3.0124484411081392E-3</v>
      </c>
      <c r="F28" s="13">
        <f t="shared" si="10"/>
        <v>3.0124484411081392E-3</v>
      </c>
      <c r="G28" s="13">
        <f t="shared" si="10"/>
        <v>3.0124484411081392E-3</v>
      </c>
      <c r="H28" s="13">
        <f t="shared" si="10"/>
        <v>3.0124484411081392E-3</v>
      </c>
      <c r="I28" s="13">
        <f>29/27201.802</f>
        <v>1.0661058410762641E-3</v>
      </c>
      <c r="J28" s="13">
        <f t="shared" ref="J28:L28" si="11">29/27201.802</f>
        <v>1.0661058410762641E-3</v>
      </c>
      <c r="K28" s="13">
        <f t="shared" si="11"/>
        <v>1.0661058410762641E-3</v>
      </c>
      <c r="L28" s="13">
        <f t="shared" si="11"/>
        <v>1.0661058410762641E-3</v>
      </c>
    </row>
    <row r="29" spans="1:13" x14ac:dyDescent="0.25">
      <c r="B29" s="3" t="s">
        <v>82</v>
      </c>
      <c r="C29">
        <v>1.7969999999999999</v>
      </c>
      <c r="D29">
        <v>1.7969999999999999</v>
      </c>
      <c r="E29">
        <v>1.7969999999999999</v>
      </c>
      <c r="F29">
        <v>1.7969999999999999</v>
      </c>
      <c r="G29">
        <v>1.7969999999999999</v>
      </c>
      <c r="H29">
        <v>1.7969999999999999</v>
      </c>
      <c r="I29">
        <v>1.7969999999999999</v>
      </c>
      <c r="J29">
        <v>1.7969999999999999</v>
      </c>
      <c r="K29">
        <v>1.7969999999999999</v>
      </c>
      <c r="L29">
        <v>1.7969999999999999</v>
      </c>
    </row>
    <row r="30" spans="1:13" x14ac:dyDescent="0.25">
      <c r="B30" s="3" t="s">
        <v>98</v>
      </c>
      <c r="C30" s="16">
        <v>0.27089999999999997</v>
      </c>
      <c r="D30" s="16">
        <v>0.27089999999999997</v>
      </c>
      <c r="E30" s="16">
        <v>0.27089999999999997</v>
      </c>
      <c r="F30" s="16">
        <v>0.27089999999999997</v>
      </c>
      <c r="G30" s="16">
        <v>0.27089999999999997</v>
      </c>
      <c r="H30" s="16">
        <v>0.27089999999999997</v>
      </c>
      <c r="I30" s="16">
        <v>0.27089999999999997</v>
      </c>
      <c r="J30" s="16">
        <v>0.27089999999999997</v>
      </c>
      <c r="K30" s="16">
        <v>0.27089999999999997</v>
      </c>
      <c r="L30" s="16">
        <v>0.27089999999999997</v>
      </c>
    </row>
    <row r="31" spans="1:13" x14ac:dyDescent="0.25">
      <c r="B31" s="3" t="s">
        <v>94</v>
      </c>
      <c r="C31" s="13">
        <f t="shared" ref="C31:I31" si="12">C28/C29*(1-C30)</f>
        <v>1.2222460536516109E-3</v>
      </c>
      <c r="D31" s="13">
        <f t="shared" si="12"/>
        <v>1.2222460536516109E-3</v>
      </c>
      <c r="E31" s="13">
        <f t="shared" si="12"/>
        <v>1.2222460536516109E-3</v>
      </c>
      <c r="F31" s="13">
        <f t="shared" si="12"/>
        <v>1.2222460536516109E-3</v>
      </c>
      <c r="G31" s="13">
        <f t="shared" si="12"/>
        <v>1.2222460536516109E-3</v>
      </c>
      <c r="H31" s="13">
        <f t="shared" si="12"/>
        <v>1.2222460536516109E-3</v>
      </c>
      <c r="I31" s="13">
        <f t="shared" si="12"/>
        <v>4.3255301543055334E-4</v>
      </c>
      <c r="J31" s="13">
        <f t="shared" ref="J31:L31" si="13">J28/J29*(1-J30)</f>
        <v>4.3255301543055334E-4</v>
      </c>
      <c r="K31" s="13">
        <f t="shared" si="13"/>
        <v>4.3255301543055334E-4</v>
      </c>
      <c r="L31" s="13">
        <f t="shared" si="13"/>
        <v>4.3255301543055334E-4</v>
      </c>
    </row>
    <row r="32" spans="1:13" x14ac:dyDescent="0.25">
      <c r="B32" s="3" t="s">
        <v>83</v>
      </c>
      <c r="C32" s="7">
        <v>94255</v>
      </c>
      <c r="D32" s="7">
        <v>94255</v>
      </c>
      <c r="E32" s="7">
        <v>94255</v>
      </c>
      <c r="F32" s="7">
        <v>94255</v>
      </c>
      <c r="G32" s="7">
        <v>94255</v>
      </c>
      <c r="H32" s="7">
        <v>94255</v>
      </c>
      <c r="I32" s="7">
        <v>94255</v>
      </c>
      <c r="J32" s="7">
        <v>94255</v>
      </c>
      <c r="K32" s="7">
        <v>94255</v>
      </c>
      <c r="L32" s="7">
        <v>94255</v>
      </c>
    </row>
    <row r="33" spans="1:12" x14ac:dyDescent="0.25">
      <c r="B33" s="3" t="s">
        <v>87</v>
      </c>
      <c r="C33" s="9">
        <f t="shared" ref="C33:H33" si="14">C32*C31</f>
        <v>115.20280178693258</v>
      </c>
      <c r="D33" s="9">
        <f t="shared" si="14"/>
        <v>115.20280178693258</v>
      </c>
      <c r="E33" s="9">
        <f t="shared" si="14"/>
        <v>115.20280178693258</v>
      </c>
      <c r="F33" s="9">
        <f t="shared" si="14"/>
        <v>115.20280178693258</v>
      </c>
      <c r="G33" s="9">
        <f t="shared" si="14"/>
        <v>115.20280178693258</v>
      </c>
      <c r="H33" s="9">
        <f t="shared" si="14"/>
        <v>115.20280178693258</v>
      </c>
      <c r="I33" s="9">
        <f t="shared" ref="I33:L33" si="15">I32*I31</f>
        <v>40.770284469406803</v>
      </c>
      <c r="J33" s="9">
        <f t="shared" si="15"/>
        <v>40.770284469406803</v>
      </c>
      <c r="K33" s="9">
        <f t="shared" si="15"/>
        <v>40.770284469406803</v>
      </c>
      <c r="L33" s="9">
        <f t="shared" si="15"/>
        <v>40.770284469406803</v>
      </c>
    </row>
    <row r="34" spans="1:12" x14ac:dyDescent="0.25">
      <c r="A34" s="18" t="s">
        <v>46</v>
      </c>
      <c r="B34" s="3"/>
      <c r="C34" s="9"/>
      <c r="D34" s="9"/>
      <c r="E34" s="9"/>
      <c r="F34" s="9"/>
      <c r="G34" s="9"/>
      <c r="H34" s="9"/>
      <c r="K34"/>
      <c r="L34"/>
    </row>
    <row r="35" spans="1:12" x14ac:dyDescent="0.25">
      <c r="B35" s="3" t="s">
        <v>103</v>
      </c>
      <c r="C35" s="14">
        <f t="shared" ref="C35:H35" si="16">C7+C14+C21+C28</f>
        <v>1.2471499312548107</v>
      </c>
      <c r="D35" s="14">
        <f t="shared" si="16"/>
        <v>3.956149931254811</v>
      </c>
      <c r="E35" s="14">
        <f t="shared" si="16"/>
        <v>1.6431499312548108</v>
      </c>
      <c r="F35" s="14">
        <f t="shared" si="16"/>
        <v>0.73114993125481087</v>
      </c>
      <c r="G35" s="14">
        <f t="shared" si="16"/>
        <v>1.6329165979214775</v>
      </c>
      <c r="H35" s="14">
        <f t="shared" si="16"/>
        <v>0.52803659792147761</v>
      </c>
      <c r="I35" s="14">
        <f t="shared" ref="I35:L35" si="17">I7+I14+I21+I28</f>
        <v>4.2530299607847058E-2</v>
      </c>
      <c r="J35" s="14">
        <f t="shared" si="17"/>
        <v>4.2530299607847058E-2</v>
      </c>
      <c r="K35" s="14">
        <f t="shared" si="17"/>
        <v>4.2530299607847058E-2</v>
      </c>
      <c r="L35" s="14">
        <f t="shared" si="17"/>
        <v>4.2530299607847058E-2</v>
      </c>
    </row>
    <row r="36" spans="1:12" x14ac:dyDescent="0.25">
      <c r="B36" s="3" t="s">
        <v>86</v>
      </c>
      <c r="C36" s="14">
        <f t="shared" ref="C36:H36" si="18">C10+C17+C24+C31</f>
        <v>0.57262920327078448</v>
      </c>
      <c r="D36" s="14">
        <f t="shared" si="18"/>
        <v>1.5893752117701982</v>
      </c>
      <c r="E36" s="14">
        <f t="shared" si="18"/>
        <v>0.65485491886197433</v>
      </c>
      <c r="F36" s="14">
        <f t="shared" si="18"/>
        <v>0.32620287815183141</v>
      </c>
      <c r="G36" s="14">
        <f t="shared" si="18"/>
        <v>0.69798705916025705</v>
      </c>
      <c r="H36" s="14">
        <f t="shared" si="18"/>
        <v>0.2042932366856437</v>
      </c>
      <c r="I36" s="14">
        <f t="shared" ref="I36:L36" si="19">I10+I17+I24+I31</f>
        <v>1.7062361460671749E-2</v>
      </c>
      <c r="J36" s="14">
        <f t="shared" si="19"/>
        <v>1.7062361460671749E-2</v>
      </c>
      <c r="K36" s="14">
        <f t="shared" si="19"/>
        <v>1.7062361460671749E-2</v>
      </c>
      <c r="L36" s="14">
        <f t="shared" si="19"/>
        <v>1.7062361460671749E-2</v>
      </c>
    </row>
    <row r="37" spans="1:12" x14ac:dyDescent="0.25">
      <c r="B37" s="3" t="s">
        <v>87</v>
      </c>
      <c r="C37" s="9">
        <f t="shared" ref="C37:H37" si="20">C12+C19+C26+C33</f>
        <v>102619.16899439784</v>
      </c>
      <c r="D37" s="9">
        <f t="shared" si="20"/>
        <v>231811.12481507688</v>
      </c>
      <c r="E37" s="9">
        <f t="shared" si="20"/>
        <v>70670.15197735613</v>
      </c>
      <c r="F37" s="9">
        <f t="shared" si="20"/>
        <v>42072.412662189265</v>
      </c>
      <c r="G37" s="9">
        <f t="shared" si="20"/>
        <v>91988.068017684054</v>
      </c>
      <c r="H37" s="9">
        <f t="shared" si="20"/>
        <v>29240.363901389985</v>
      </c>
      <c r="I37" s="9">
        <f t="shared" ref="I37:L37" si="21">I12+I19+I26+I33</f>
        <v>1841.1966466224533</v>
      </c>
      <c r="J37" s="9">
        <f t="shared" si="21"/>
        <v>1841.1966466224533</v>
      </c>
      <c r="K37" s="9">
        <f t="shared" si="21"/>
        <v>1841.1966466224533</v>
      </c>
      <c r="L37" s="9">
        <f t="shared" si="21"/>
        <v>1841.1966466224533</v>
      </c>
    </row>
  </sheetData>
  <sheetProtection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Sheet1</vt:lpstr>
      <vt:lpstr>Sheet2</vt:lpstr>
      <vt:lpstr>Sheet4</vt:lpstr>
      <vt:lpstr>Sheet5</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 Norton</dc:creator>
  <cp:lastModifiedBy>Alex Norton</cp:lastModifiedBy>
  <dcterms:created xsi:type="dcterms:W3CDTF">2018-03-06T13:23:21Z</dcterms:created>
  <dcterms:modified xsi:type="dcterms:W3CDTF">2018-04-07T15:19:56Z</dcterms:modified>
</cp:coreProperties>
</file>