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tetoncountywy.sharepoint.com/sites/LongRangePlanning/Shared Documents/Comprehensive Plan/Indicators/2021 Report/"/>
    </mc:Choice>
  </mc:AlternateContent>
  <xr:revisionPtr revIDLastSave="123" documentId="8_{1E84424E-C173-4232-8E55-0EB598E4B6DF}" xr6:coauthVersionLast="46" xr6:coauthVersionMax="46" xr10:uidLastSave="{5DCC0B69-6A15-4D3C-BEE1-A3731384CE38}"/>
  <bookViews>
    <workbookView xWindow="-120" yWindow="-120" windowWidth="29040" windowHeight="15840" tabRatio="659" xr2:uid="{CE5A4989-E716-47B4-BBDA-C526F972BDCB}"/>
  </bookViews>
  <sheets>
    <sheet name="Table of Contents" sheetId="1" r:id="rId1"/>
    <sheet name="Datasheet" sheetId="3" r:id="rId2"/>
    <sheet name="Indicators" sheetId="4" r:id="rId3"/>
    <sheet name="ConsevationBuildoutTracker" sheetId="2" state="hidden" r:id="rId4"/>
    <sheet name="BuildoutAssumptions" sheetId="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277" i="3" l="1"/>
  <c r="AA1286" i="3"/>
  <c r="AA92" i="3"/>
  <c r="K171" i="2"/>
  <c r="AA893" i="3" l="1"/>
  <c r="AA890" i="3"/>
  <c r="I160" i="2" l="1"/>
  <c r="I159" i="2"/>
  <c r="U165" i="2"/>
  <c r="V165" i="2"/>
  <c r="U166" i="2"/>
  <c r="V166" i="2"/>
  <c r="U167" i="2"/>
  <c r="V167" i="2"/>
  <c r="U168" i="2"/>
  <c r="V168" i="2"/>
  <c r="I164" i="2"/>
  <c r="I165" i="2"/>
  <c r="I166" i="2"/>
  <c r="I167" i="2"/>
  <c r="Q161" i="2"/>
  <c r="S161" i="2"/>
  <c r="O161" i="2"/>
  <c r="I150" i="2"/>
  <c r="Z710" i="4" l="1"/>
  <c r="Z709" i="4" l="1"/>
  <c r="AA1031" i="3" l="1"/>
  <c r="AA1030" i="3"/>
  <c r="AA1040" i="3"/>
  <c r="AA1443" i="4"/>
  <c r="AA1029" i="3"/>
  <c r="AA1028" i="3"/>
  <c r="AA886" i="3"/>
  <c r="AA883" i="3"/>
  <c r="Y558" i="3"/>
  <c r="Y546" i="3"/>
  <c r="Y534" i="3"/>
  <c r="Y522" i="3"/>
  <c r="Z660" i="3"/>
  <c r="J1284" i="3"/>
  <c r="K1284" i="3"/>
  <c r="N1284" i="3"/>
  <c r="O1284" i="3"/>
  <c r="P1284" i="3"/>
  <c r="Q1284" i="3"/>
  <c r="R1284" i="3"/>
  <c r="S1284" i="3"/>
  <c r="T1284" i="3"/>
  <c r="U1284" i="3"/>
  <c r="V1284" i="3"/>
  <c r="W1284" i="3"/>
  <c r="X1284" i="3"/>
  <c r="Y1284" i="3"/>
  <c r="Z1284" i="3"/>
  <c r="AA1284" i="3"/>
  <c r="AB1284" i="3"/>
  <c r="AC1284" i="3"/>
  <c r="AD1284" i="3"/>
  <c r="AE1284" i="3"/>
  <c r="AF1284" i="3"/>
  <c r="AG1284" i="3"/>
  <c r="AH1284" i="3"/>
  <c r="AI1284" i="3"/>
  <c r="AJ1284" i="3"/>
  <c r="AK1284" i="3"/>
  <c r="J1275" i="3"/>
  <c r="K1275" i="3"/>
  <c r="L1275" i="3"/>
  <c r="M1275" i="3"/>
  <c r="N1275" i="3"/>
  <c r="N347" i="4" s="1"/>
  <c r="N346" i="4" s="1"/>
  <c r="O1275" i="3"/>
  <c r="O347" i="4" s="1"/>
  <c r="O346" i="4" s="1"/>
  <c r="P1275" i="3"/>
  <c r="P347" i="4" s="1"/>
  <c r="P346" i="4" s="1"/>
  <c r="AA1275" i="3"/>
  <c r="AB1275" i="3"/>
  <c r="AC1275" i="3"/>
  <c r="AD1275" i="3"/>
  <c r="AD347" i="4" s="1"/>
  <c r="AD346" i="4" s="1"/>
  <c r="AE1275" i="3"/>
  <c r="AF1275" i="3"/>
  <c r="AG1275" i="3"/>
  <c r="AH1275" i="3"/>
  <c r="AH347" i="4" s="1"/>
  <c r="AH346" i="4" s="1"/>
  <c r="AI1275" i="3"/>
  <c r="AJ1275" i="3"/>
  <c r="AK1275" i="3"/>
  <c r="I1275" i="3"/>
  <c r="I1294" i="3"/>
  <c r="I1284" i="3" s="1"/>
  <c r="L1290" i="3"/>
  <c r="L1284" i="3" s="1"/>
  <c r="W1276" i="3"/>
  <c r="X1276" i="3"/>
  <c r="V1276" i="3"/>
  <c r="R1277" i="3"/>
  <c r="R1275" i="3" s="1"/>
  <c r="R347" i="4" s="1"/>
  <c r="R346" i="4" s="1"/>
  <c r="S1277" i="3"/>
  <c r="S1275" i="3" s="1"/>
  <c r="S347" i="4" s="1"/>
  <c r="S346" i="4" s="1"/>
  <c r="T1277" i="3"/>
  <c r="T1275" i="3" s="1"/>
  <c r="U1277" i="3"/>
  <c r="U1275" i="3" s="1"/>
  <c r="U347" i="4" s="1"/>
  <c r="U346" i="4" s="1"/>
  <c r="V1277" i="3"/>
  <c r="W1277" i="3"/>
  <c r="X1277" i="3"/>
  <c r="Y1277" i="3"/>
  <c r="Y1275" i="3" s="1"/>
  <c r="Y347" i="4" s="1"/>
  <c r="Y346" i="4" s="1"/>
  <c r="Z1277" i="3"/>
  <c r="Z1275" i="3" s="1"/>
  <c r="Z347" i="4" s="1"/>
  <c r="Z346" i="4" s="1"/>
  <c r="Q1277" i="3"/>
  <c r="Q1275" i="3" s="1"/>
  <c r="I43" i="2"/>
  <c r="AK347" i="4" l="1"/>
  <c r="AK346" i="4" s="1"/>
  <c r="AG347" i="4"/>
  <c r="AG346" i="4" s="1"/>
  <c r="AC347" i="4"/>
  <c r="AC346" i="4" s="1"/>
  <c r="K347" i="4"/>
  <c r="K346" i="4" s="1"/>
  <c r="Q347" i="4"/>
  <c r="Q346" i="4" s="1"/>
  <c r="T347" i="4"/>
  <c r="T346" i="4" s="1"/>
  <c r="AI347" i="4"/>
  <c r="AI346" i="4" s="1"/>
  <c r="AE347" i="4"/>
  <c r="AE346" i="4" s="1"/>
  <c r="AA347" i="4"/>
  <c r="AA346" i="4" s="1"/>
  <c r="W1275" i="3"/>
  <c r="W347" i="4" s="1"/>
  <c r="W346" i="4" s="1"/>
  <c r="V1275" i="3"/>
  <c r="V347" i="4" s="1"/>
  <c r="V346" i="4" s="1"/>
  <c r="AJ347" i="4"/>
  <c r="AJ346" i="4" s="1"/>
  <c r="AF347" i="4"/>
  <c r="AF346" i="4" s="1"/>
  <c r="AB347" i="4"/>
  <c r="AB346" i="4" s="1"/>
  <c r="J347" i="4"/>
  <c r="J346" i="4" s="1"/>
  <c r="X1275" i="3"/>
  <c r="X347" i="4" s="1"/>
  <c r="X346" i="4" s="1"/>
  <c r="I347" i="4"/>
  <c r="I346" i="4" s="1"/>
  <c r="L347" i="4"/>
  <c r="L346" i="4" s="1"/>
  <c r="M1290" i="3"/>
  <c r="M1284" i="3" s="1"/>
  <c r="M347" i="4" s="1"/>
  <c r="M346" i="4" s="1"/>
  <c r="I35" i="2"/>
  <c r="I19" i="2"/>
  <c r="I20" i="2"/>
  <c r="I21" i="2"/>
  <c r="I22" i="2"/>
  <c r="I23" i="2"/>
  <c r="I24" i="2"/>
  <c r="I25" i="2"/>
  <c r="I26" i="2"/>
  <c r="I27" i="2"/>
  <c r="I28" i="2"/>
  <c r="I29" i="2"/>
  <c r="I30" i="2"/>
  <c r="I31" i="2"/>
  <c r="I32" i="2"/>
  <c r="I33" i="2"/>
  <c r="I34" i="2"/>
  <c r="I36" i="2"/>
  <c r="I37" i="2"/>
  <c r="I38" i="2"/>
  <c r="I39" i="2"/>
  <c r="I40" i="2"/>
  <c r="I41" i="2"/>
  <c r="I42" i="2"/>
  <c r="I44" i="2"/>
  <c r="I45" i="2"/>
  <c r="I46" i="2"/>
  <c r="I47" i="2"/>
  <c r="I48" i="2"/>
  <c r="I49" i="2"/>
  <c r="I50" i="2"/>
  <c r="I51" i="2"/>
  <c r="I52" i="2"/>
  <c r="V91" i="2"/>
  <c r="U91" i="2"/>
  <c r="T91" i="2"/>
  <c r="I91" i="2"/>
  <c r="V84" i="2"/>
  <c r="U84" i="2"/>
  <c r="T84" i="2"/>
  <c r="I84" i="2"/>
  <c r="T53" i="2"/>
  <c r="U53" i="2"/>
  <c r="V53" i="2"/>
  <c r="T54" i="2"/>
  <c r="U54" i="2"/>
  <c r="V54" i="2"/>
  <c r="T55" i="2"/>
  <c r="U55" i="2"/>
  <c r="V55" i="2"/>
  <c r="T56" i="2"/>
  <c r="U56" i="2"/>
  <c r="V56" i="2"/>
  <c r="T57" i="2"/>
  <c r="U57" i="2"/>
  <c r="V57" i="2"/>
  <c r="T58" i="2"/>
  <c r="U58" i="2"/>
  <c r="V58" i="2"/>
  <c r="T59" i="2"/>
  <c r="U59" i="2"/>
  <c r="V59" i="2"/>
  <c r="T60" i="2"/>
  <c r="U60" i="2"/>
  <c r="V60" i="2"/>
  <c r="T61" i="2"/>
  <c r="U61" i="2"/>
  <c r="V61" i="2"/>
  <c r="T62" i="2"/>
  <c r="U62" i="2"/>
  <c r="V62" i="2"/>
  <c r="T63" i="2"/>
  <c r="U63" i="2"/>
  <c r="V63" i="2"/>
  <c r="T64" i="2"/>
  <c r="U64" i="2"/>
  <c r="V64" i="2"/>
  <c r="T65" i="2"/>
  <c r="U65" i="2"/>
  <c r="V65" i="2"/>
  <c r="T66" i="2"/>
  <c r="U66" i="2"/>
  <c r="V66" i="2"/>
  <c r="T67" i="2"/>
  <c r="U67" i="2"/>
  <c r="V67" i="2"/>
  <c r="T68" i="2"/>
  <c r="U68" i="2"/>
  <c r="V68" i="2"/>
  <c r="T69" i="2"/>
  <c r="U69" i="2"/>
  <c r="V69" i="2"/>
  <c r="T70" i="2"/>
  <c r="U70" i="2"/>
  <c r="V70" i="2"/>
  <c r="T71" i="2"/>
  <c r="U71" i="2"/>
  <c r="V71" i="2"/>
  <c r="T72" i="2"/>
  <c r="U72" i="2"/>
  <c r="V72" i="2"/>
  <c r="T73" i="2"/>
  <c r="U73" i="2"/>
  <c r="V73" i="2"/>
  <c r="T74" i="2"/>
  <c r="U74" i="2"/>
  <c r="V74" i="2"/>
  <c r="T75" i="2"/>
  <c r="U75" i="2"/>
  <c r="V75" i="2"/>
  <c r="T76" i="2"/>
  <c r="U76" i="2"/>
  <c r="V76" i="2"/>
  <c r="T77" i="2"/>
  <c r="U77" i="2"/>
  <c r="V77" i="2"/>
  <c r="T78" i="2"/>
  <c r="U78" i="2"/>
  <c r="V78" i="2"/>
  <c r="T79" i="2"/>
  <c r="U79" i="2"/>
  <c r="V79" i="2"/>
  <c r="T80" i="2"/>
  <c r="U80" i="2"/>
  <c r="V80" i="2"/>
  <c r="T81" i="2"/>
  <c r="U81" i="2"/>
  <c r="V81" i="2"/>
  <c r="T82" i="2"/>
  <c r="U82" i="2"/>
  <c r="V82" i="2"/>
  <c r="T83" i="2"/>
  <c r="U83" i="2"/>
  <c r="V83" i="2"/>
  <c r="T85" i="2"/>
  <c r="U85" i="2"/>
  <c r="V85" i="2"/>
  <c r="T86" i="2"/>
  <c r="U86" i="2"/>
  <c r="V86" i="2"/>
  <c r="T87" i="2"/>
  <c r="U87" i="2"/>
  <c r="V87" i="2"/>
  <c r="T88" i="2"/>
  <c r="U88" i="2"/>
  <c r="V88" i="2"/>
  <c r="T89" i="2"/>
  <c r="U89" i="2"/>
  <c r="V89" i="2"/>
  <c r="T90" i="2"/>
  <c r="U90" i="2"/>
  <c r="V90" i="2"/>
  <c r="T92" i="2"/>
  <c r="U92" i="2"/>
  <c r="V92" i="2"/>
  <c r="T93" i="2"/>
  <c r="U93" i="2"/>
  <c r="V93" i="2"/>
  <c r="T94" i="2"/>
  <c r="U94" i="2"/>
  <c r="V94" i="2"/>
  <c r="T95" i="2"/>
  <c r="U95" i="2"/>
  <c r="V95" i="2"/>
  <c r="T96" i="2"/>
  <c r="U96" i="2"/>
  <c r="V96" i="2"/>
  <c r="T97" i="2"/>
  <c r="U97" i="2"/>
  <c r="V97" i="2"/>
  <c r="T98" i="2"/>
  <c r="U98" i="2"/>
  <c r="V98" i="2"/>
  <c r="T99" i="2"/>
  <c r="U99" i="2"/>
  <c r="V99" i="2"/>
  <c r="T100" i="2"/>
  <c r="U100" i="2"/>
  <c r="V100" i="2"/>
  <c r="T101" i="2"/>
  <c r="U101" i="2"/>
  <c r="V101" i="2"/>
  <c r="T102" i="2"/>
  <c r="U102" i="2"/>
  <c r="V102" i="2"/>
  <c r="T103" i="2"/>
  <c r="U103" i="2"/>
  <c r="V103" i="2"/>
  <c r="T104" i="2"/>
  <c r="U104" i="2"/>
  <c r="V104" i="2"/>
  <c r="T105" i="2"/>
  <c r="U105" i="2"/>
  <c r="V105" i="2"/>
  <c r="T106" i="2"/>
  <c r="U106" i="2"/>
  <c r="V106" i="2"/>
  <c r="T107" i="2"/>
  <c r="U107" i="2"/>
  <c r="V107" i="2"/>
  <c r="T108" i="2"/>
  <c r="U108" i="2"/>
  <c r="V108" i="2"/>
  <c r="T109" i="2"/>
  <c r="U109" i="2"/>
  <c r="V109" i="2"/>
  <c r="T110" i="2"/>
  <c r="U110" i="2"/>
  <c r="V110" i="2"/>
  <c r="T111" i="2"/>
  <c r="U111" i="2"/>
  <c r="V111" i="2"/>
  <c r="T112" i="2"/>
  <c r="U112" i="2"/>
  <c r="V112" i="2"/>
  <c r="T113" i="2"/>
  <c r="U113" i="2"/>
  <c r="V113" i="2"/>
  <c r="T114" i="2"/>
  <c r="U114" i="2"/>
  <c r="V114" i="2"/>
  <c r="U115" i="2"/>
  <c r="V115" i="2"/>
  <c r="U116" i="2"/>
  <c r="V116"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5" i="2"/>
  <c r="I86" i="2"/>
  <c r="I87" i="2"/>
  <c r="I88" i="2"/>
  <c r="I89" i="2"/>
  <c r="I90" i="2"/>
  <c r="I92" i="2"/>
  <c r="I93" i="2"/>
  <c r="I94" i="2"/>
  <c r="I95" i="2"/>
  <c r="I96" i="2"/>
  <c r="I97" i="2"/>
  <c r="I98" i="2"/>
  <c r="I99" i="2"/>
  <c r="I100" i="2"/>
  <c r="I101" i="2"/>
  <c r="I102" i="2"/>
  <c r="I103" i="2"/>
  <c r="I104" i="2"/>
  <c r="I105" i="2"/>
  <c r="I106" i="2"/>
  <c r="I107" i="2"/>
  <c r="I108" i="2"/>
  <c r="I109" i="2"/>
  <c r="I110" i="2"/>
  <c r="I111" i="2"/>
  <c r="I112" i="2"/>
  <c r="I113" i="2"/>
  <c r="I114" i="2"/>
  <c r="S61" i="4" l="1"/>
  <c r="W61" i="4"/>
  <c r="AA61" i="4"/>
  <c r="AE61" i="4"/>
  <c r="AI61" i="4"/>
  <c r="R61" i="4"/>
  <c r="Z61" i="4"/>
  <c r="T61" i="4"/>
  <c r="X61" i="4"/>
  <c r="AB61" i="4"/>
  <c r="AF61" i="4"/>
  <c r="AJ61" i="4"/>
  <c r="AD61" i="4"/>
  <c r="Q61" i="4"/>
  <c r="U61" i="4"/>
  <c r="Y61" i="4"/>
  <c r="AC61" i="4"/>
  <c r="AG61" i="4"/>
  <c r="AK61" i="4"/>
  <c r="V61" i="4"/>
  <c r="AH61" i="4"/>
  <c r="J1182" i="4" l="1"/>
  <c r="K1182" i="4"/>
  <c r="L1182" i="4"/>
  <c r="M1182" i="4"/>
  <c r="N1182" i="4"/>
  <c r="O1182" i="4"/>
  <c r="P1182" i="4"/>
  <c r="Q1182" i="4"/>
  <c r="R1182" i="4"/>
  <c r="S1182" i="4"/>
  <c r="T1182" i="4"/>
  <c r="U1182" i="4"/>
  <c r="V1182" i="4"/>
  <c r="W1182" i="4"/>
  <c r="X1182" i="4"/>
  <c r="X1259" i="4" s="1"/>
  <c r="Y1182" i="4"/>
  <c r="Z1182" i="4"/>
  <c r="AA1182" i="4"/>
  <c r="AB1182" i="4"/>
  <c r="AC1182" i="4"/>
  <c r="AD1182" i="4"/>
  <c r="AE1182" i="4"/>
  <c r="AF1182" i="4"/>
  <c r="AG1182" i="4"/>
  <c r="AH1182" i="4"/>
  <c r="AI1182" i="4"/>
  <c r="AJ1182" i="4"/>
  <c r="AK1182" i="4"/>
  <c r="J1187" i="4"/>
  <c r="K1187" i="4"/>
  <c r="L1187" i="4"/>
  <c r="M1187" i="4"/>
  <c r="N1187" i="4"/>
  <c r="O1187" i="4"/>
  <c r="P1187" i="4"/>
  <c r="Q1187" i="4"/>
  <c r="R1187" i="4"/>
  <c r="S1187" i="4"/>
  <c r="T1187" i="4"/>
  <c r="U1187" i="4"/>
  <c r="V1187" i="4"/>
  <c r="W1187" i="4"/>
  <c r="X1187" i="4"/>
  <c r="X1264" i="4" s="1"/>
  <c r="Y1187" i="4"/>
  <c r="Z1187" i="4"/>
  <c r="AA1187" i="4"/>
  <c r="AB1187" i="4"/>
  <c r="AC1187" i="4"/>
  <c r="AD1187" i="4"/>
  <c r="AE1187" i="4"/>
  <c r="AF1187" i="4"/>
  <c r="AG1187" i="4"/>
  <c r="AH1187" i="4"/>
  <c r="AI1187" i="4"/>
  <c r="AJ1187" i="4"/>
  <c r="AK1187" i="4"/>
  <c r="J1192" i="4"/>
  <c r="K1192" i="4"/>
  <c r="L1192" i="4"/>
  <c r="M1192" i="4"/>
  <c r="N1192" i="4"/>
  <c r="O1192" i="4"/>
  <c r="P1192" i="4"/>
  <c r="Q1192" i="4"/>
  <c r="R1192" i="4"/>
  <c r="S1192" i="4"/>
  <c r="T1192" i="4"/>
  <c r="U1192" i="4"/>
  <c r="V1192" i="4"/>
  <c r="W1192" i="4"/>
  <c r="X1192" i="4"/>
  <c r="X1269" i="4" s="1"/>
  <c r="Y1192" i="4"/>
  <c r="Z1192" i="4"/>
  <c r="AA1192" i="4"/>
  <c r="AB1192" i="4"/>
  <c r="AC1192" i="4"/>
  <c r="AD1192" i="4"/>
  <c r="AE1192" i="4"/>
  <c r="AF1192" i="4"/>
  <c r="AG1192" i="4"/>
  <c r="AH1192" i="4"/>
  <c r="AI1192" i="4"/>
  <c r="AJ1192" i="4"/>
  <c r="AK1192" i="4"/>
  <c r="J1197" i="4"/>
  <c r="K1197" i="4"/>
  <c r="L1197" i="4"/>
  <c r="M1197" i="4"/>
  <c r="N1197" i="4"/>
  <c r="O1197" i="4"/>
  <c r="P1197" i="4"/>
  <c r="Q1197" i="4"/>
  <c r="R1197" i="4"/>
  <c r="S1197" i="4"/>
  <c r="T1197" i="4"/>
  <c r="U1197" i="4"/>
  <c r="V1197" i="4"/>
  <c r="W1197" i="4"/>
  <c r="X1197" i="4"/>
  <c r="X1274" i="4" s="1"/>
  <c r="Y1197" i="4"/>
  <c r="Z1197" i="4"/>
  <c r="AA1197" i="4"/>
  <c r="AB1197" i="4"/>
  <c r="AC1197" i="4"/>
  <c r="AD1197" i="4"/>
  <c r="AE1197" i="4"/>
  <c r="AF1197" i="4"/>
  <c r="AG1197" i="4"/>
  <c r="AH1197" i="4"/>
  <c r="AI1197" i="4"/>
  <c r="AJ1197" i="4"/>
  <c r="AK1197" i="4"/>
  <c r="J1202" i="4"/>
  <c r="K1202" i="4"/>
  <c r="L1202" i="4"/>
  <c r="M1202" i="4"/>
  <c r="N1202" i="4"/>
  <c r="O1202" i="4"/>
  <c r="P1202" i="4"/>
  <c r="Q1202" i="4"/>
  <c r="R1202" i="4"/>
  <c r="S1202" i="4"/>
  <c r="T1202" i="4"/>
  <c r="U1202" i="4"/>
  <c r="V1202" i="4"/>
  <c r="W1202" i="4"/>
  <c r="X1202" i="4"/>
  <c r="X1279" i="4" s="1"/>
  <c r="Y1202" i="4"/>
  <c r="Z1202" i="4"/>
  <c r="AA1202" i="4"/>
  <c r="AB1202" i="4"/>
  <c r="AC1202" i="4"/>
  <c r="AD1202" i="4"/>
  <c r="AE1202" i="4"/>
  <c r="AF1202" i="4"/>
  <c r="AG1202" i="4"/>
  <c r="AH1202" i="4"/>
  <c r="AI1202" i="4"/>
  <c r="AJ1202" i="4"/>
  <c r="AK1202" i="4"/>
  <c r="I1202" i="4"/>
  <c r="I1197" i="4"/>
  <c r="I1192" i="4"/>
  <c r="I1187" i="4"/>
  <c r="I1182" i="4"/>
  <c r="J1172" i="4"/>
  <c r="K1172" i="4"/>
  <c r="L1172" i="4"/>
  <c r="M1172" i="4"/>
  <c r="N1172" i="4"/>
  <c r="O1172" i="4"/>
  <c r="P1172" i="4"/>
  <c r="Q1172" i="4"/>
  <c r="R1172" i="4"/>
  <c r="S1172" i="4"/>
  <c r="T1172" i="4"/>
  <c r="U1172" i="4"/>
  <c r="V1172" i="4"/>
  <c r="W1172" i="4"/>
  <c r="X1172" i="4"/>
  <c r="X1249" i="4" s="1"/>
  <c r="Y1172" i="4"/>
  <c r="Z1172" i="4"/>
  <c r="AA1172" i="4"/>
  <c r="AB1172" i="4"/>
  <c r="AC1172" i="4"/>
  <c r="AD1172" i="4"/>
  <c r="AE1172" i="4"/>
  <c r="AF1172" i="4"/>
  <c r="AG1172" i="4"/>
  <c r="AH1172" i="4"/>
  <c r="AI1172" i="4"/>
  <c r="AJ1172" i="4"/>
  <c r="AK1172" i="4"/>
  <c r="I1172" i="4"/>
  <c r="AC1136" i="4"/>
  <c r="AD1136" i="4"/>
  <c r="AE1136" i="4"/>
  <c r="AF1136" i="4"/>
  <c r="AG1136" i="4"/>
  <c r="AH1136" i="4"/>
  <c r="AI1136" i="4"/>
  <c r="AJ1136" i="4"/>
  <c r="AK1136" i="4"/>
  <c r="AC1141" i="4"/>
  <c r="AD1141" i="4"/>
  <c r="AE1141" i="4"/>
  <c r="AG1141" i="4"/>
  <c r="AH1141" i="4"/>
  <c r="AI1141" i="4"/>
  <c r="AJ1141" i="4"/>
  <c r="AK1141" i="4"/>
  <c r="AC1146" i="4"/>
  <c r="AD1146" i="4"/>
  <c r="AE1146" i="4"/>
  <c r="AF1146" i="4"/>
  <c r="AG1146" i="4"/>
  <c r="AH1146" i="4"/>
  <c r="AI1146" i="4"/>
  <c r="AJ1146" i="4"/>
  <c r="AK1146" i="4"/>
  <c r="AC1151" i="4"/>
  <c r="AD1151" i="4"/>
  <c r="AE1151" i="4"/>
  <c r="AF1151" i="4"/>
  <c r="AG1151" i="4"/>
  <c r="AH1151" i="4"/>
  <c r="AI1151" i="4"/>
  <c r="AJ1151" i="4"/>
  <c r="AK1151" i="4"/>
  <c r="AC1156" i="4"/>
  <c r="AD1156" i="4"/>
  <c r="AE1156" i="4"/>
  <c r="AF1156" i="4"/>
  <c r="AG1156" i="4"/>
  <c r="AH1156" i="4"/>
  <c r="AI1156" i="4"/>
  <c r="AJ1156" i="4"/>
  <c r="AK1156" i="4"/>
  <c r="AC1161" i="4"/>
  <c r="AD1161" i="4"/>
  <c r="AE1161" i="4"/>
  <c r="AF1161" i="4"/>
  <c r="AG1161" i="4"/>
  <c r="AH1161" i="4"/>
  <c r="AI1161" i="4"/>
  <c r="AJ1161" i="4"/>
  <c r="AK1161" i="4"/>
  <c r="AC1166" i="4"/>
  <c r="AD1166" i="4"/>
  <c r="AE1166" i="4"/>
  <c r="AF1166" i="4"/>
  <c r="AG1166" i="4"/>
  <c r="AH1166" i="4"/>
  <c r="AI1166" i="4"/>
  <c r="AJ1166" i="4"/>
  <c r="AK1166" i="4"/>
  <c r="U1136" i="4"/>
  <c r="V1136" i="4"/>
  <c r="W1136" i="4"/>
  <c r="X1136" i="4"/>
  <c r="X1213" i="4" s="1"/>
  <c r="Y1136" i="4"/>
  <c r="Z1136" i="4"/>
  <c r="AA1136" i="4"/>
  <c r="AB1136" i="4"/>
  <c r="U1141" i="4"/>
  <c r="V1141" i="4"/>
  <c r="W1141" i="4"/>
  <c r="X1141" i="4"/>
  <c r="X1218" i="4" s="1"/>
  <c r="Y1141" i="4"/>
  <c r="Z1141" i="4"/>
  <c r="AA1141" i="4"/>
  <c r="AB1141" i="4"/>
  <c r="U1146" i="4"/>
  <c r="V1146" i="4"/>
  <c r="W1146" i="4"/>
  <c r="X1146" i="4"/>
  <c r="X1223" i="4" s="1"/>
  <c r="Y1146" i="4"/>
  <c r="Z1146" i="4"/>
  <c r="AA1146" i="4"/>
  <c r="AB1146" i="4"/>
  <c r="U1151" i="4"/>
  <c r="V1151" i="4"/>
  <c r="W1151" i="4"/>
  <c r="X1151" i="4"/>
  <c r="X1228" i="4" s="1"/>
  <c r="Y1151" i="4"/>
  <c r="Z1151" i="4"/>
  <c r="AA1151" i="4"/>
  <c r="AB1151" i="4"/>
  <c r="U1156" i="4"/>
  <c r="V1156" i="4"/>
  <c r="W1156" i="4"/>
  <c r="X1156" i="4"/>
  <c r="X1233" i="4" s="1"/>
  <c r="Y1156" i="4"/>
  <c r="Z1156" i="4"/>
  <c r="AA1156" i="4"/>
  <c r="AB1156" i="4"/>
  <c r="U1161" i="4"/>
  <c r="V1161" i="4"/>
  <c r="W1161" i="4"/>
  <c r="X1161" i="4"/>
  <c r="X1238" i="4" s="1"/>
  <c r="Y1161" i="4"/>
  <c r="Z1161" i="4"/>
  <c r="AA1161" i="4"/>
  <c r="AB1161" i="4"/>
  <c r="U1166" i="4"/>
  <c r="V1166" i="4"/>
  <c r="W1166" i="4"/>
  <c r="X1166" i="4"/>
  <c r="X1243" i="4" s="1"/>
  <c r="Y1166" i="4"/>
  <c r="Z1166" i="4"/>
  <c r="AA1166" i="4"/>
  <c r="AB1166" i="4"/>
  <c r="S1136" i="4"/>
  <c r="T1136" i="4"/>
  <c r="T1138" i="4" s="1"/>
  <c r="S1141" i="4"/>
  <c r="T1141" i="4"/>
  <c r="S1146" i="4"/>
  <c r="T1146" i="4"/>
  <c r="S1151" i="4"/>
  <c r="T1151" i="4"/>
  <c r="S1156" i="4"/>
  <c r="T1156" i="4"/>
  <c r="T1158" i="4" s="1"/>
  <c r="S1161" i="4"/>
  <c r="T1161" i="4"/>
  <c r="S1166" i="4"/>
  <c r="T1166" i="4"/>
  <c r="J1136" i="4"/>
  <c r="K1136" i="4"/>
  <c r="L1136" i="4"/>
  <c r="M1136" i="4"/>
  <c r="N1136" i="4"/>
  <c r="O1136" i="4"/>
  <c r="P1136" i="4"/>
  <c r="Q1136" i="4"/>
  <c r="R1136" i="4"/>
  <c r="J1141" i="4"/>
  <c r="K1141" i="4"/>
  <c r="L1141" i="4"/>
  <c r="M1141" i="4"/>
  <c r="N1141" i="4"/>
  <c r="O1141" i="4"/>
  <c r="P1141" i="4"/>
  <c r="Q1141" i="4"/>
  <c r="R1141" i="4"/>
  <c r="J1146" i="4"/>
  <c r="K1146" i="4"/>
  <c r="L1146" i="4"/>
  <c r="M1146" i="4"/>
  <c r="N1146" i="4"/>
  <c r="O1146" i="4"/>
  <c r="P1146" i="4"/>
  <c r="Q1146" i="4"/>
  <c r="R1146" i="4"/>
  <c r="J1151" i="4"/>
  <c r="K1151" i="4"/>
  <c r="L1151" i="4"/>
  <c r="M1151" i="4"/>
  <c r="N1151" i="4"/>
  <c r="O1151" i="4"/>
  <c r="P1151" i="4"/>
  <c r="Q1151" i="4"/>
  <c r="R1151" i="4"/>
  <c r="J1156" i="4"/>
  <c r="K1156" i="4"/>
  <c r="L1156" i="4"/>
  <c r="M1156" i="4"/>
  <c r="N1156" i="4"/>
  <c r="O1156" i="4"/>
  <c r="P1156" i="4"/>
  <c r="Q1156" i="4"/>
  <c r="R1156" i="4"/>
  <c r="J1161" i="4"/>
  <c r="K1161" i="4"/>
  <c r="L1161" i="4"/>
  <c r="M1161" i="4"/>
  <c r="N1161" i="4"/>
  <c r="O1161" i="4"/>
  <c r="P1161" i="4"/>
  <c r="Q1161" i="4"/>
  <c r="R1161" i="4"/>
  <c r="J1166" i="4"/>
  <c r="K1166" i="4"/>
  <c r="L1166" i="4"/>
  <c r="M1166" i="4"/>
  <c r="N1166" i="4"/>
  <c r="O1166" i="4"/>
  <c r="P1166" i="4"/>
  <c r="Q1166" i="4"/>
  <c r="R1166" i="4"/>
  <c r="I1166" i="4"/>
  <c r="I1161" i="4"/>
  <c r="I1156" i="4"/>
  <c r="I1151" i="4"/>
  <c r="I1146" i="4"/>
  <c r="I1141" i="4"/>
  <c r="I1136" i="4"/>
  <c r="J1444" i="4"/>
  <c r="K1444" i="4"/>
  <c r="L1444" i="4"/>
  <c r="M1444" i="4"/>
  <c r="N1444" i="4"/>
  <c r="O1444" i="4"/>
  <c r="P1444" i="4"/>
  <c r="Q1444" i="4"/>
  <c r="R1444" i="4"/>
  <c r="S1444" i="4"/>
  <c r="T1444" i="4"/>
  <c r="U1444" i="4"/>
  <c r="V1444" i="4"/>
  <c r="W1444" i="4"/>
  <c r="X1444" i="4"/>
  <c r="Y1444" i="4"/>
  <c r="Z1444" i="4"/>
  <c r="AA1444" i="4"/>
  <c r="AB1444" i="4"/>
  <c r="AC1444" i="4"/>
  <c r="AD1444" i="4"/>
  <c r="AE1444" i="4"/>
  <c r="AF1444" i="4"/>
  <c r="AG1444" i="4"/>
  <c r="AH1444" i="4"/>
  <c r="AI1444" i="4"/>
  <c r="AJ1444" i="4"/>
  <c r="AK1444" i="4"/>
  <c r="I1444" i="4"/>
  <c r="J1443" i="4"/>
  <c r="K1443" i="4"/>
  <c r="L1443" i="4"/>
  <c r="M1443" i="4"/>
  <c r="N1443" i="4"/>
  <c r="O1443" i="4"/>
  <c r="P1443" i="4"/>
  <c r="Q1443" i="4"/>
  <c r="R1443" i="4"/>
  <c r="S1443" i="4"/>
  <c r="T1443" i="4"/>
  <c r="U1443" i="4"/>
  <c r="V1443" i="4"/>
  <c r="W1443" i="4"/>
  <c r="X1443" i="4"/>
  <c r="Y1443" i="4"/>
  <c r="Z1443" i="4"/>
  <c r="AB1443" i="4"/>
  <c r="AC1443" i="4"/>
  <c r="AD1443" i="4"/>
  <c r="AE1443" i="4"/>
  <c r="AF1443" i="4"/>
  <c r="AG1443" i="4"/>
  <c r="AH1443" i="4"/>
  <c r="AI1443" i="4"/>
  <c r="AJ1443" i="4"/>
  <c r="AK1443" i="4"/>
  <c r="J1442" i="4"/>
  <c r="K1442" i="4"/>
  <c r="L1442" i="4"/>
  <c r="M1442" i="4"/>
  <c r="N1442" i="4"/>
  <c r="O1442" i="4"/>
  <c r="P1442" i="4"/>
  <c r="Q1442" i="4"/>
  <c r="R1442" i="4"/>
  <c r="S1442" i="4"/>
  <c r="T1442" i="4"/>
  <c r="U1442" i="4"/>
  <c r="V1442" i="4"/>
  <c r="W1442" i="4"/>
  <c r="X1442" i="4"/>
  <c r="Y1442" i="4"/>
  <c r="Z1442" i="4"/>
  <c r="AA1442" i="4"/>
  <c r="AB1442" i="4"/>
  <c r="AC1442" i="4"/>
  <c r="AD1442" i="4"/>
  <c r="AE1442" i="4"/>
  <c r="AF1442" i="4"/>
  <c r="AG1442" i="4"/>
  <c r="AH1442" i="4"/>
  <c r="AI1442" i="4"/>
  <c r="AJ1442" i="4"/>
  <c r="AK1442" i="4"/>
  <c r="I1442" i="4"/>
  <c r="AB608" i="4"/>
  <c r="AC608" i="4"/>
  <c r="AD608" i="4"/>
  <c r="AE608" i="4"/>
  <c r="AF608" i="4"/>
  <c r="AG608" i="4"/>
  <c r="AH608" i="4"/>
  <c r="AI608" i="4"/>
  <c r="AJ608" i="4"/>
  <c r="AK608" i="4"/>
  <c r="T608" i="4"/>
  <c r="U608" i="4"/>
  <c r="V608" i="4"/>
  <c r="W608" i="4"/>
  <c r="X608" i="4"/>
  <c r="Y608" i="4"/>
  <c r="P608" i="4"/>
  <c r="Q608" i="4"/>
  <c r="R608" i="4"/>
  <c r="J608" i="4"/>
  <c r="K608" i="4"/>
  <c r="L608" i="4"/>
  <c r="M608" i="4"/>
  <c r="N608" i="4"/>
  <c r="O608" i="4"/>
  <c r="I594" i="4"/>
  <c r="J594" i="4"/>
  <c r="K594" i="4"/>
  <c r="L594" i="4"/>
  <c r="M594" i="4"/>
  <c r="N594" i="4"/>
  <c r="O594" i="4"/>
  <c r="P594" i="4"/>
  <c r="Q594" i="4"/>
  <c r="R594" i="4"/>
  <c r="S594" i="4"/>
  <c r="T594" i="4"/>
  <c r="U594" i="4"/>
  <c r="V594" i="4"/>
  <c r="W594" i="4"/>
  <c r="X594" i="4"/>
  <c r="Y594" i="4"/>
  <c r="R587" i="4"/>
  <c r="R588" i="4" s="1"/>
  <c r="S587" i="4"/>
  <c r="S589" i="4" s="1"/>
  <c r="T587" i="4"/>
  <c r="T589" i="4" s="1"/>
  <c r="U587" i="4"/>
  <c r="U589" i="4" s="1"/>
  <c r="V587" i="4"/>
  <c r="V588" i="4" s="1"/>
  <c r="W587" i="4"/>
  <c r="W589" i="4" s="1"/>
  <c r="X587" i="4"/>
  <c r="X589" i="4" s="1"/>
  <c r="Y587" i="4"/>
  <c r="Y589" i="4" s="1"/>
  <c r="Z587" i="4"/>
  <c r="Z588" i="4" s="1"/>
  <c r="AA587" i="4"/>
  <c r="AB587" i="4"/>
  <c r="AB589" i="4" s="1"/>
  <c r="AC587" i="4"/>
  <c r="AC589" i="4" s="1"/>
  <c r="AD587" i="4"/>
  <c r="AD588" i="4" s="1"/>
  <c r="AE587" i="4"/>
  <c r="AE589" i="4" s="1"/>
  <c r="AF587" i="4"/>
  <c r="AF589" i="4" s="1"/>
  <c r="AG587" i="4"/>
  <c r="AG589" i="4" s="1"/>
  <c r="AH587" i="4"/>
  <c r="AH588" i="4" s="1"/>
  <c r="AI587" i="4"/>
  <c r="AI589" i="4" s="1"/>
  <c r="AJ587" i="4"/>
  <c r="AJ589" i="4" s="1"/>
  <c r="AK587" i="4"/>
  <c r="AK589" i="4" s="1"/>
  <c r="I587" i="4"/>
  <c r="I589" i="4" s="1"/>
  <c r="J587" i="4"/>
  <c r="J589" i="4" s="1"/>
  <c r="K587" i="4"/>
  <c r="K589" i="4" s="1"/>
  <c r="L587" i="4"/>
  <c r="L589" i="4" s="1"/>
  <c r="M587" i="4"/>
  <c r="M589" i="4" s="1"/>
  <c r="N587" i="4"/>
  <c r="N588" i="4" s="1"/>
  <c r="O587" i="4"/>
  <c r="O589" i="4" s="1"/>
  <c r="P587" i="4"/>
  <c r="P589" i="4" s="1"/>
  <c r="Q587" i="4"/>
  <c r="Q589" i="4" s="1"/>
  <c r="J579" i="4"/>
  <c r="K579" i="4"/>
  <c r="L579" i="4"/>
  <c r="M579" i="4"/>
  <c r="N579" i="4"/>
  <c r="O579" i="4"/>
  <c r="P579" i="4"/>
  <c r="J580" i="4"/>
  <c r="K580" i="4"/>
  <c r="L580" i="4"/>
  <c r="M580" i="4"/>
  <c r="N580" i="4"/>
  <c r="O580" i="4"/>
  <c r="P580" i="4"/>
  <c r="J581" i="4"/>
  <c r="K581" i="4"/>
  <c r="L581" i="4"/>
  <c r="M581" i="4"/>
  <c r="N581" i="4"/>
  <c r="O581" i="4"/>
  <c r="P581" i="4"/>
  <c r="I581" i="4"/>
  <c r="I580" i="4"/>
  <c r="I579" i="4"/>
  <c r="AA1177" i="4" l="1"/>
  <c r="AA589" i="4"/>
  <c r="AA588" i="4"/>
  <c r="M610" i="4"/>
  <c r="W610" i="4"/>
  <c r="AH609" i="4"/>
  <c r="AD609" i="4"/>
  <c r="AB1195" i="4"/>
  <c r="V1199" i="4"/>
  <c r="AC1177" i="4"/>
  <c r="Y1177" i="4"/>
  <c r="M1177" i="4"/>
  <c r="AG1177" i="4"/>
  <c r="T1148" i="4"/>
  <c r="R1193" i="4"/>
  <c r="AI1205" i="4"/>
  <c r="AB1205" i="4"/>
  <c r="AK1204" i="4"/>
  <c r="V1204" i="4"/>
  <c r="U1203" i="4"/>
  <c r="AG1198" i="4"/>
  <c r="Y1198" i="4"/>
  <c r="AG1193" i="4"/>
  <c r="AK1194" i="4"/>
  <c r="U1193" i="4"/>
  <c r="AI1190" i="4"/>
  <c r="AG1188" i="4"/>
  <c r="AK1189" i="4"/>
  <c r="V1189" i="4"/>
  <c r="U1188" i="4"/>
  <c r="AJ1177" i="4"/>
  <c r="X1198" i="4"/>
  <c r="U1177" i="4"/>
  <c r="S1131" i="4"/>
  <c r="U1131" i="4"/>
  <c r="R1198" i="4"/>
  <c r="AJ1205" i="4"/>
  <c r="AJ1203" i="4"/>
  <c r="AH1204" i="4"/>
  <c r="AB1203" i="4"/>
  <c r="T1203" i="4"/>
  <c r="AF1200" i="4"/>
  <c r="AJ1198" i="4"/>
  <c r="AH1199" i="4"/>
  <c r="AB1198" i="4"/>
  <c r="T1198" i="4"/>
  <c r="AF1195" i="4"/>
  <c r="AJ1193" i="4"/>
  <c r="AH1194" i="4"/>
  <c r="AB1193" i="4"/>
  <c r="X1193" i="4"/>
  <c r="T1193" i="4"/>
  <c r="AJ1190" i="4"/>
  <c r="AJ1188" i="4"/>
  <c r="AH1189" i="4"/>
  <c r="AB1188" i="4"/>
  <c r="X1188" i="4"/>
  <c r="T1188" i="4"/>
  <c r="X1183" i="4"/>
  <c r="Q1177" i="4"/>
  <c r="X1203" i="4"/>
  <c r="T1168" i="4"/>
  <c r="AG1203" i="4"/>
  <c r="Y1203" i="4"/>
  <c r="AI1200" i="4"/>
  <c r="AB1200" i="4"/>
  <c r="AK1199" i="4"/>
  <c r="U1198" i="4"/>
  <c r="AI1195" i="4"/>
  <c r="Y1193" i="4"/>
  <c r="Y1188" i="4"/>
  <c r="AF1177" i="4"/>
  <c r="AB1190" i="4"/>
  <c r="T1163" i="4"/>
  <c r="T1153" i="4"/>
  <c r="T1143" i="4"/>
  <c r="AB1169" i="4"/>
  <c r="AB1164" i="4"/>
  <c r="AB1154" i="4"/>
  <c r="AB1149" i="4"/>
  <c r="AB1144" i="4"/>
  <c r="AB1131" i="4"/>
  <c r="AB1134" i="4" s="1"/>
  <c r="X1131" i="4"/>
  <c r="AH1177" i="4"/>
  <c r="AD1177" i="4"/>
  <c r="Z1177" i="4"/>
  <c r="V1177" i="4"/>
  <c r="R1177" i="4"/>
  <c r="N1177" i="4"/>
  <c r="J1177" i="4"/>
  <c r="V1194" i="4"/>
  <c r="AK1177" i="4"/>
  <c r="AI1185" i="4"/>
  <c r="X1177" i="4"/>
  <c r="AK1184" i="4"/>
  <c r="P1177" i="4"/>
  <c r="L1177" i="4"/>
  <c r="V1184" i="4"/>
  <c r="AB1185" i="4"/>
  <c r="O1131" i="4"/>
  <c r="AI1131" i="4"/>
  <c r="I1131" i="4"/>
  <c r="AE1177" i="4"/>
  <c r="W1177" i="4"/>
  <c r="O1177" i="4"/>
  <c r="AF1205" i="4"/>
  <c r="Z1199" i="4"/>
  <c r="AF1190" i="4"/>
  <c r="AF1185" i="4"/>
  <c r="Q1131" i="4"/>
  <c r="M1131" i="4"/>
  <c r="R1131" i="4"/>
  <c r="N1131" i="4"/>
  <c r="R1183" i="4"/>
  <c r="R1203" i="4"/>
  <c r="AI1203" i="4"/>
  <c r="AE1203" i="4"/>
  <c r="AA1203" i="4"/>
  <c r="W1203" i="4"/>
  <c r="S1203" i="4"/>
  <c r="AI1198" i="4"/>
  <c r="AE1198" i="4"/>
  <c r="AA1198" i="4"/>
  <c r="W1198" i="4"/>
  <c r="S1198" i="4"/>
  <c r="AI1193" i="4"/>
  <c r="AE1193" i="4"/>
  <c r="AA1193" i="4"/>
  <c r="W1193" i="4"/>
  <c r="S1193" i="4"/>
  <c r="AI1188" i="4"/>
  <c r="AE1188" i="4"/>
  <c r="AA1188" i="4"/>
  <c r="W1188" i="4"/>
  <c r="S1188" i="4"/>
  <c r="AF1203" i="4"/>
  <c r="AF1280" i="4" s="1"/>
  <c r="AD1204" i="4"/>
  <c r="AF1198" i="4"/>
  <c r="AF1275" i="4" s="1"/>
  <c r="AD1199" i="4"/>
  <c r="AJ1200" i="4"/>
  <c r="AF1193" i="4"/>
  <c r="AF1270" i="4" s="1"/>
  <c r="AD1194" i="4"/>
  <c r="AJ1195" i="4"/>
  <c r="AF1188" i="4"/>
  <c r="AF1265" i="4" s="1"/>
  <c r="AD1189" i="4"/>
  <c r="AF1183" i="4"/>
  <c r="AF1260" i="4" s="1"/>
  <c r="AD1184" i="4"/>
  <c r="AJ1185" i="4"/>
  <c r="K1131" i="4"/>
  <c r="Y1131" i="4"/>
  <c r="AE1131" i="4"/>
  <c r="AI1177" i="4"/>
  <c r="S1177" i="4"/>
  <c r="K1177" i="4"/>
  <c r="Z1204" i="4"/>
  <c r="Z1194" i="4"/>
  <c r="Z1189" i="4"/>
  <c r="AB1183" i="4"/>
  <c r="Z1184" i="4"/>
  <c r="R1188" i="4"/>
  <c r="AH1203" i="4"/>
  <c r="AD1203" i="4"/>
  <c r="Z1203" i="4"/>
  <c r="V1203" i="4"/>
  <c r="AH1198" i="4"/>
  <c r="AD1198" i="4"/>
  <c r="Z1198" i="4"/>
  <c r="V1198" i="4"/>
  <c r="AH1193" i="4"/>
  <c r="AD1193" i="4"/>
  <c r="Z1193" i="4"/>
  <c r="V1193" i="4"/>
  <c r="AH1188" i="4"/>
  <c r="AD1188" i="4"/>
  <c r="Z1188" i="4"/>
  <c r="V1188" i="4"/>
  <c r="AH1183" i="4"/>
  <c r="AD1183" i="4"/>
  <c r="Z1183" i="4"/>
  <c r="V1183" i="4"/>
  <c r="T1183" i="4"/>
  <c r="AJ1183" i="4"/>
  <c r="AH1184" i="4"/>
  <c r="AC1203" i="4"/>
  <c r="AK1203" i="4"/>
  <c r="W1204" i="4"/>
  <c r="AA1204" i="4"/>
  <c r="AE1204" i="4"/>
  <c r="AI1204" i="4"/>
  <c r="AC1205" i="4"/>
  <c r="AG1205" i="4"/>
  <c r="AK1205" i="4"/>
  <c r="AC1198" i="4"/>
  <c r="AK1198" i="4"/>
  <c r="W1199" i="4"/>
  <c r="AA1199" i="4"/>
  <c r="AE1199" i="4"/>
  <c r="AI1199" i="4"/>
  <c r="AC1200" i="4"/>
  <c r="AG1200" i="4"/>
  <c r="AK1200" i="4"/>
  <c r="AC1193" i="4"/>
  <c r="AK1193" i="4"/>
  <c r="W1194" i="4"/>
  <c r="AA1194" i="4"/>
  <c r="AE1194" i="4"/>
  <c r="AI1194" i="4"/>
  <c r="AC1195" i="4"/>
  <c r="AG1195" i="4"/>
  <c r="AK1195" i="4"/>
  <c r="AC1188" i="4"/>
  <c r="AK1188" i="4"/>
  <c r="W1189" i="4"/>
  <c r="AA1189" i="4"/>
  <c r="AE1189" i="4"/>
  <c r="AI1189" i="4"/>
  <c r="AC1190" i="4"/>
  <c r="AG1190" i="4"/>
  <c r="AK1190" i="4"/>
  <c r="U1183" i="4"/>
  <c r="Y1183" i="4"/>
  <c r="AC1183" i="4"/>
  <c r="AG1183" i="4"/>
  <c r="AK1183" i="4"/>
  <c r="W1184" i="4"/>
  <c r="AA1184" i="4"/>
  <c r="AE1184" i="4"/>
  <c r="AI1184" i="4"/>
  <c r="AC1185" i="4"/>
  <c r="AG1185" i="4"/>
  <c r="AK1185" i="4"/>
  <c r="AB1177" i="4"/>
  <c r="T1177" i="4"/>
  <c r="J1131" i="4"/>
  <c r="AJ1167" i="4"/>
  <c r="AJ1162" i="4"/>
  <c r="AJ1157" i="4"/>
  <c r="AJ1152" i="4"/>
  <c r="AJ1147" i="4"/>
  <c r="AJ1137" i="4"/>
  <c r="AF1137" i="4"/>
  <c r="AF1214" i="4" s="1"/>
  <c r="AK1131" i="4"/>
  <c r="AG1131" i="4"/>
  <c r="AC1131" i="4"/>
  <c r="AH1131" i="4"/>
  <c r="AD1131" i="4"/>
  <c r="T1204" i="4"/>
  <c r="X1204" i="4"/>
  <c r="AB1204" i="4"/>
  <c r="AF1204" i="4"/>
  <c r="AJ1204" i="4"/>
  <c r="AD1205" i="4"/>
  <c r="AH1205" i="4"/>
  <c r="T1199" i="4"/>
  <c r="X1199" i="4"/>
  <c r="AB1199" i="4"/>
  <c r="AF1199" i="4"/>
  <c r="AJ1199" i="4"/>
  <c r="AD1200" i="4"/>
  <c r="AH1200" i="4"/>
  <c r="T1194" i="4"/>
  <c r="X1194" i="4"/>
  <c r="AB1194" i="4"/>
  <c r="AF1194" i="4"/>
  <c r="AJ1194" i="4"/>
  <c r="AD1195" i="4"/>
  <c r="AH1195" i="4"/>
  <c r="T1189" i="4"/>
  <c r="X1189" i="4"/>
  <c r="AB1189" i="4"/>
  <c r="AF1189" i="4"/>
  <c r="AJ1189" i="4"/>
  <c r="AD1190" i="4"/>
  <c r="AH1190" i="4"/>
  <c r="T1184" i="4"/>
  <c r="X1184" i="4"/>
  <c r="AB1184" i="4"/>
  <c r="AF1184" i="4"/>
  <c r="AJ1184" i="4"/>
  <c r="AD1185" i="4"/>
  <c r="AH1185" i="4"/>
  <c r="P1131" i="4"/>
  <c r="L1131" i="4"/>
  <c r="AJ1131" i="4"/>
  <c r="U1204" i="4"/>
  <c r="Y1204" i="4"/>
  <c r="AC1204" i="4"/>
  <c r="AG1204" i="4"/>
  <c r="AE1205" i="4"/>
  <c r="U1199" i="4"/>
  <c r="Y1199" i="4"/>
  <c r="AC1199" i="4"/>
  <c r="AG1199" i="4"/>
  <c r="AE1200" i="4"/>
  <c r="U1194" i="4"/>
  <c r="Y1194" i="4"/>
  <c r="AC1194" i="4"/>
  <c r="AG1194" i="4"/>
  <c r="AE1195" i="4"/>
  <c r="U1189" i="4"/>
  <c r="Y1189" i="4"/>
  <c r="AC1189" i="4"/>
  <c r="AG1189" i="4"/>
  <c r="AE1190" i="4"/>
  <c r="S1183" i="4"/>
  <c r="W1183" i="4"/>
  <c r="AA1183" i="4"/>
  <c r="AE1183" i="4"/>
  <c r="AI1183" i="4"/>
  <c r="U1184" i="4"/>
  <c r="Y1184" i="4"/>
  <c r="AC1184" i="4"/>
  <c r="AG1184" i="4"/>
  <c r="AE1185" i="4"/>
  <c r="I1177" i="4"/>
  <c r="AF1167" i="4"/>
  <c r="AF1244" i="4" s="1"/>
  <c r="AF1162" i="4"/>
  <c r="AF1239" i="4" s="1"/>
  <c r="AF1157" i="4"/>
  <c r="AF1234" i="4" s="1"/>
  <c r="AK1175" i="4"/>
  <c r="AG1173" i="4"/>
  <c r="Y1173" i="4"/>
  <c r="X1162" i="4"/>
  <c r="AE1167" i="4"/>
  <c r="AE1162" i="4"/>
  <c r="AE1157" i="4"/>
  <c r="AI1152" i="4"/>
  <c r="AI1147" i="4"/>
  <c r="AE1142" i="4"/>
  <c r="AE1137" i="4"/>
  <c r="AF1173" i="4"/>
  <c r="AF1250" i="4" s="1"/>
  <c r="X1173" i="4"/>
  <c r="T1131" i="4"/>
  <c r="AH1167" i="4"/>
  <c r="AD1167" i="4"/>
  <c r="AH1162" i="4"/>
  <c r="AD1162" i="4"/>
  <c r="AH1157" i="4"/>
  <c r="AD1157" i="4"/>
  <c r="AH1152" i="4"/>
  <c r="AD1152" i="4"/>
  <c r="AH1147" i="4"/>
  <c r="AD1147" i="4"/>
  <c r="AD1142" i="4"/>
  <c r="AH1137" i="4"/>
  <c r="AD1137" i="4"/>
  <c r="R1173" i="4"/>
  <c r="AI1173" i="4"/>
  <c r="AE1173" i="4"/>
  <c r="AA1173" i="4"/>
  <c r="W1173" i="4"/>
  <c r="S1173" i="4"/>
  <c r="AA1131" i="4"/>
  <c r="W1131" i="4"/>
  <c r="AF1152" i="4"/>
  <c r="AF1229" i="4" s="1"/>
  <c r="AF1147" i="4"/>
  <c r="AF1224" i="4" s="1"/>
  <c r="AI1174" i="4"/>
  <c r="U1173" i="4"/>
  <c r="AI1167" i="4"/>
  <c r="AI1162" i="4"/>
  <c r="AI1157" i="4"/>
  <c r="AE1152" i="4"/>
  <c r="AE1147" i="4"/>
  <c r="AI1137" i="4"/>
  <c r="AJ1173" i="4"/>
  <c r="AB1173" i="4"/>
  <c r="T1173" i="4"/>
  <c r="AG1167" i="4"/>
  <c r="AG1162" i="4"/>
  <c r="AC1159" i="4"/>
  <c r="AG1157" i="4"/>
  <c r="AG1152" i="4"/>
  <c r="AG1147" i="4"/>
  <c r="AC1139" i="4"/>
  <c r="AG1137" i="4"/>
  <c r="AH1173" i="4"/>
  <c r="AD1173" i="4"/>
  <c r="Z1173" i="4"/>
  <c r="V1173" i="4"/>
  <c r="Z1131" i="4"/>
  <c r="V1131" i="4"/>
  <c r="AJ1169" i="4"/>
  <c r="AF1169" i="4"/>
  <c r="AK1168" i="4"/>
  <c r="AG1168" i="4"/>
  <c r="AC1168" i="4"/>
  <c r="AJ1164" i="4"/>
  <c r="AF1164" i="4"/>
  <c r="AK1163" i="4"/>
  <c r="AG1163" i="4"/>
  <c r="AC1163" i="4"/>
  <c r="AJ1159" i="4"/>
  <c r="AF1159" i="4"/>
  <c r="AK1158" i="4"/>
  <c r="AG1158" i="4"/>
  <c r="AC1158" i="4"/>
  <c r="AJ1154" i="4"/>
  <c r="AF1154" i="4"/>
  <c r="AK1153" i="4"/>
  <c r="AG1153" i="4"/>
  <c r="AC1153" i="4"/>
  <c r="AJ1149" i="4"/>
  <c r="AF1149" i="4"/>
  <c r="AK1148" i="4"/>
  <c r="AG1148" i="4"/>
  <c r="AC1148" i="4"/>
  <c r="AC1143" i="4"/>
  <c r="AJ1139" i="4"/>
  <c r="AF1139" i="4"/>
  <c r="AK1138" i="4"/>
  <c r="AG1138" i="4"/>
  <c r="AC1138" i="4"/>
  <c r="T1174" i="4"/>
  <c r="X1174" i="4"/>
  <c r="AB1174" i="4"/>
  <c r="AF1174" i="4"/>
  <c r="AJ1174" i="4"/>
  <c r="AD1175" i="4"/>
  <c r="AH1175" i="4"/>
  <c r="AI1169" i="4"/>
  <c r="AE1169" i="4"/>
  <c r="AJ1168" i="4"/>
  <c r="AF1168" i="4"/>
  <c r="AK1167" i="4"/>
  <c r="AC1167" i="4"/>
  <c r="AI1164" i="4"/>
  <c r="AE1164" i="4"/>
  <c r="AJ1163" i="4"/>
  <c r="AF1163" i="4"/>
  <c r="AK1162" i="4"/>
  <c r="AC1162" i="4"/>
  <c r="AI1159" i="4"/>
  <c r="AE1159" i="4"/>
  <c r="AJ1158" i="4"/>
  <c r="AF1158" i="4"/>
  <c r="AK1157" i="4"/>
  <c r="AC1157" i="4"/>
  <c r="AI1154" i="4"/>
  <c r="AE1154" i="4"/>
  <c r="AJ1153" i="4"/>
  <c r="AF1153" i="4"/>
  <c r="AK1152" i="4"/>
  <c r="AC1152" i="4"/>
  <c r="AI1149" i="4"/>
  <c r="AE1149" i="4"/>
  <c r="AJ1148" i="4"/>
  <c r="AF1148" i="4"/>
  <c r="AK1147" i="4"/>
  <c r="AC1147" i="4"/>
  <c r="AE1144" i="4"/>
  <c r="AC1142" i="4"/>
  <c r="AI1139" i="4"/>
  <c r="AE1139" i="4"/>
  <c r="AJ1138" i="4"/>
  <c r="AF1138" i="4"/>
  <c r="AK1137" i="4"/>
  <c r="AC1137" i="4"/>
  <c r="U1174" i="4"/>
  <c r="Y1174" i="4"/>
  <c r="AC1174" i="4"/>
  <c r="AG1174" i="4"/>
  <c r="AK1174" i="4"/>
  <c r="AE1175" i="4"/>
  <c r="AI1175" i="4"/>
  <c r="U1153" i="4"/>
  <c r="AH1169" i="4"/>
  <c r="AD1169" i="4"/>
  <c r="AI1168" i="4"/>
  <c r="AE1168" i="4"/>
  <c r="AH1164" i="4"/>
  <c r="AD1164" i="4"/>
  <c r="AI1163" i="4"/>
  <c r="AE1163" i="4"/>
  <c r="AH1159" i="4"/>
  <c r="AD1159" i="4"/>
  <c r="AI1158" i="4"/>
  <c r="AE1158" i="4"/>
  <c r="AH1154" i="4"/>
  <c r="AD1154" i="4"/>
  <c r="AI1153" i="4"/>
  <c r="AE1153" i="4"/>
  <c r="AH1149" i="4"/>
  <c r="AD1149" i="4"/>
  <c r="AI1148" i="4"/>
  <c r="AE1148" i="4"/>
  <c r="AD1144" i="4"/>
  <c r="AE1143" i="4"/>
  <c r="AH1139" i="4"/>
  <c r="AD1139" i="4"/>
  <c r="AI1138" i="4"/>
  <c r="AE1138" i="4"/>
  <c r="V1174" i="4"/>
  <c r="Z1174" i="4"/>
  <c r="AD1174" i="4"/>
  <c r="AH1174" i="4"/>
  <c r="AB1175" i="4"/>
  <c r="AF1175" i="4"/>
  <c r="AJ1175" i="4"/>
  <c r="AA1143" i="4"/>
  <c r="AK1169" i="4"/>
  <c r="AG1169" i="4"/>
  <c r="AC1169" i="4"/>
  <c r="AH1168" i="4"/>
  <c r="AD1168" i="4"/>
  <c r="AK1164" i="4"/>
  <c r="AG1164" i="4"/>
  <c r="AC1164" i="4"/>
  <c r="AH1163" i="4"/>
  <c r="AD1163" i="4"/>
  <c r="AK1159" i="4"/>
  <c r="AG1159" i="4"/>
  <c r="AH1158" i="4"/>
  <c r="AD1158" i="4"/>
  <c r="AK1154" i="4"/>
  <c r="AG1154" i="4"/>
  <c r="AC1154" i="4"/>
  <c r="AH1153" i="4"/>
  <c r="AD1153" i="4"/>
  <c r="AK1149" i="4"/>
  <c r="AG1149" i="4"/>
  <c r="AC1149" i="4"/>
  <c r="AH1148" i="4"/>
  <c r="AD1148" i="4"/>
  <c r="AC1144" i="4"/>
  <c r="AD1143" i="4"/>
  <c r="AK1139" i="4"/>
  <c r="AG1139" i="4"/>
  <c r="AH1138" i="4"/>
  <c r="AD1138" i="4"/>
  <c r="AC1173" i="4"/>
  <c r="AK1173" i="4"/>
  <c r="W1174" i="4"/>
  <c r="AA1174" i="4"/>
  <c r="AE1174" i="4"/>
  <c r="AC1175" i="4"/>
  <c r="AG1175" i="4"/>
  <c r="X1142" i="4"/>
  <c r="V1138" i="4"/>
  <c r="U1152" i="4"/>
  <c r="V1157" i="4"/>
  <c r="V1152" i="4"/>
  <c r="V1137" i="4"/>
  <c r="U1158" i="4"/>
  <c r="U1157" i="4"/>
  <c r="U1137" i="4"/>
  <c r="AA1163" i="4"/>
  <c r="R1142" i="4"/>
  <c r="R1162" i="4"/>
  <c r="Y1167" i="4"/>
  <c r="U1167" i="4"/>
  <c r="AA1157" i="4"/>
  <c r="W1157" i="4"/>
  <c r="S1157" i="4"/>
  <c r="T1152" i="4"/>
  <c r="Y1147" i="4"/>
  <c r="U1147" i="4"/>
  <c r="AA1137" i="4"/>
  <c r="W1137" i="4"/>
  <c r="S1137" i="4"/>
  <c r="AB1162" i="4"/>
  <c r="Z1152" i="4"/>
  <c r="AB1142" i="4"/>
  <c r="V1153" i="4"/>
  <c r="U1148" i="4"/>
  <c r="AB1139" i="4"/>
  <c r="X1157" i="4"/>
  <c r="T1167" i="4"/>
  <c r="S1152" i="4"/>
  <c r="W1163" i="4"/>
  <c r="W1152" i="4"/>
  <c r="V1167" i="4"/>
  <c r="R1167" i="4"/>
  <c r="T1147" i="4"/>
  <c r="AB1168" i="4"/>
  <c r="Z1158" i="4"/>
  <c r="R1152" i="4"/>
  <c r="S1167" i="4"/>
  <c r="T1162" i="4"/>
  <c r="S1147" i="4"/>
  <c r="T1142" i="4"/>
  <c r="X1168" i="4"/>
  <c r="U1162" i="4"/>
  <c r="W1158" i="4"/>
  <c r="AB1148" i="4"/>
  <c r="W1143" i="4"/>
  <c r="Z1138" i="4"/>
  <c r="R1147" i="4"/>
  <c r="V1147" i="4"/>
  <c r="U1138" i="4"/>
  <c r="X1137" i="4"/>
  <c r="AB1159" i="4"/>
  <c r="R1137" i="4"/>
  <c r="R1157" i="4"/>
  <c r="S1162" i="4"/>
  <c r="T1157" i="4"/>
  <c r="S1142" i="4"/>
  <c r="T1137" i="4"/>
  <c r="U1168" i="4"/>
  <c r="V1158" i="4"/>
  <c r="Y1153" i="4"/>
  <c r="X1148" i="4"/>
  <c r="U1142" i="4"/>
  <c r="W1138" i="4"/>
  <c r="AA1168" i="4"/>
  <c r="W1168" i="4"/>
  <c r="AB1167" i="4"/>
  <c r="X1167" i="4"/>
  <c r="Z1163" i="4"/>
  <c r="V1163" i="4"/>
  <c r="AA1162" i="4"/>
  <c r="W1162" i="4"/>
  <c r="Y1158" i="4"/>
  <c r="Z1157" i="4"/>
  <c r="AB1153" i="4"/>
  <c r="X1153" i="4"/>
  <c r="Y1152" i="4"/>
  <c r="AA1148" i="4"/>
  <c r="W1148" i="4"/>
  <c r="AB1147" i="4"/>
  <c r="X1147" i="4"/>
  <c r="Z1143" i="4"/>
  <c r="V1143" i="4"/>
  <c r="AA1142" i="4"/>
  <c r="W1142" i="4"/>
  <c r="Y1138" i="4"/>
  <c r="Z1137" i="4"/>
  <c r="Z1168" i="4"/>
  <c r="V1168" i="4"/>
  <c r="AA1167" i="4"/>
  <c r="W1167" i="4"/>
  <c r="Y1163" i="4"/>
  <c r="U1163" i="4"/>
  <c r="Z1162" i="4"/>
  <c r="V1162" i="4"/>
  <c r="AB1158" i="4"/>
  <c r="X1158" i="4"/>
  <c r="Y1157" i="4"/>
  <c r="AA1153" i="4"/>
  <c r="W1153" i="4"/>
  <c r="AB1152" i="4"/>
  <c r="X1152" i="4"/>
  <c r="Z1148" i="4"/>
  <c r="V1148" i="4"/>
  <c r="AA1147" i="4"/>
  <c r="W1147" i="4"/>
  <c r="Y1143" i="4"/>
  <c r="U1143" i="4"/>
  <c r="Z1142" i="4"/>
  <c r="V1142" i="4"/>
  <c r="AB1138" i="4"/>
  <c r="X1138" i="4"/>
  <c r="Y1137" i="4"/>
  <c r="Y1168" i="4"/>
  <c r="Z1167" i="4"/>
  <c r="AB1163" i="4"/>
  <c r="X1163" i="4"/>
  <c r="Y1162" i="4"/>
  <c r="AA1158" i="4"/>
  <c r="AB1157" i="4"/>
  <c r="Z1153" i="4"/>
  <c r="AA1152" i="4"/>
  <c r="Y1148" i="4"/>
  <c r="Z1147" i="4"/>
  <c r="AB1143" i="4"/>
  <c r="X1143" i="4"/>
  <c r="Y1142" i="4"/>
  <c r="AA1138" i="4"/>
  <c r="AB1137" i="4"/>
  <c r="P601" i="4"/>
  <c r="K601" i="4"/>
  <c r="O603" i="4"/>
  <c r="K603" i="4"/>
  <c r="N602" i="4"/>
  <c r="Q610" i="4"/>
  <c r="J602" i="4"/>
  <c r="P603" i="4"/>
  <c r="J610" i="4"/>
  <c r="N603" i="4"/>
  <c r="L610" i="4"/>
  <c r="Y610" i="4"/>
  <c r="U610" i="4"/>
  <c r="M601" i="4"/>
  <c r="M603" i="4"/>
  <c r="L602" i="4"/>
  <c r="X610" i="4"/>
  <c r="T610" i="4"/>
  <c r="J603" i="4"/>
  <c r="M602" i="4"/>
  <c r="L601" i="4"/>
  <c r="P610" i="4"/>
  <c r="P602" i="4"/>
  <c r="K610" i="4"/>
  <c r="L603" i="4"/>
  <c r="O602" i="4"/>
  <c r="K602" i="4"/>
  <c r="N601" i="4"/>
  <c r="J601" i="4"/>
  <c r="O601" i="4"/>
  <c r="O610" i="4"/>
  <c r="S610" i="4"/>
  <c r="AH589" i="4"/>
  <c r="R589" i="4"/>
  <c r="R610" i="4" s="1"/>
  <c r="U588" i="4"/>
  <c r="AG588" i="4"/>
  <c r="AG609" i="4" s="1"/>
  <c r="Q588" i="4"/>
  <c r="AD589" i="4"/>
  <c r="N589" i="4"/>
  <c r="N610" i="4" s="1"/>
  <c r="AK588" i="4"/>
  <c r="AK609" i="4" s="1"/>
  <c r="AC588" i="4"/>
  <c r="AC609" i="4" s="1"/>
  <c r="M588" i="4"/>
  <c r="Z589" i="4"/>
  <c r="Y588" i="4"/>
  <c r="V589" i="4"/>
  <c r="V610" i="4" s="1"/>
  <c r="AJ588" i="4"/>
  <c r="AJ609" i="4" s="1"/>
  <c r="AF588" i="4"/>
  <c r="AF609" i="4" s="1"/>
  <c r="AB588" i="4"/>
  <c r="AB609" i="4" s="1"/>
  <c r="X588" i="4"/>
  <c r="T588" i="4"/>
  <c r="P588" i="4"/>
  <c r="L588" i="4"/>
  <c r="AI588" i="4"/>
  <c r="AI609" i="4" s="1"/>
  <c r="AE588" i="4"/>
  <c r="AE609" i="4" s="1"/>
  <c r="AA609" i="4"/>
  <c r="W588" i="4"/>
  <c r="S588" i="4"/>
  <c r="V609" i="4" s="1"/>
  <c r="O588" i="4"/>
  <c r="R609" i="4" s="1"/>
  <c r="K588" i="4"/>
  <c r="J588" i="4"/>
  <c r="J609" i="4" s="1"/>
  <c r="Q510" i="4"/>
  <c r="R510" i="4"/>
  <c r="S510" i="4"/>
  <c r="T510" i="4"/>
  <c r="U510" i="4"/>
  <c r="V510" i="4"/>
  <c r="W510" i="4"/>
  <c r="X510" i="4"/>
  <c r="Y510" i="4"/>
  <c r="Q505" i="4"/>
  <c r="R505" i="4"/>
  <c r="S505" i="4"/>
  <c r="T505" i="4"/>
  <c r="U505" i="4"/>
  <c r="V505" i="4"/>
  <c r="W505" i="4"/>
  <c r="X505" i="4"/>
  <c r="Q506" i="4"/>
  <c r="Q508" i="4" s="1"/>
  <c r="R506" i="4"/>
  <c r="S506" i="4"/>
  <c r="T506" i="4"/>
  <c r="U506" i="4"/>
  <c r="V506" i="4"/>
  <c r="W506" i="4"/>
  <c r="X506" i="4"/>
  <c r="Q507" i="4"/>
  <c r="Q509" i="4" s="1"/>
  <c r="R507" i="4"/>
  <c r="S507" i="4"/>
  <c r="T507" i="4"/>
  <c r="U507" i="4"/>
  <c r="V507" i="4"/>
  <c r="V509" i="4" s="1"/>
  <c r="W507" i="4"/>
  <c r="W509" i="4" s="1"/>
  <c r="X507" i="4"/>
  <c r="X509" i="4" s="1"/>
  <c r="Y505" i="4"/>
  <c r="Y506" i="4"/>
  <c r="Y507" i="4"/>
  <c r="Z505" i="4"/>
  <c r="Z510" i="4"/>
  <c r="AA505" i="4"/>
  <c r="AA510" i="4"/>
  <c r="AB510" i="4"/>
  <c r="AC510" i="4"/>
  <c r="AD510" i="4" s="1"/>
  <c r="U509" i="4" l="1"/>
  <c r="U508" i="4"/>
  <c r="V508" i="4"/>
  <c r="S509" i="4"/>
  <c r="W508" i="4"/>
  <c r="R1178" i="4"/>
  <c r="AJ1180" i="4"/>
  <c r="AI1180" i="4"/>
  <c r="AF1179" i="4"/>
  <c r="AF1178" i="4"/>
  <c r="S1178" i="4"/>
  <c r="AC1179" i="4"/>
  <c r="AE1180" i="4"/>
  <c r="AA1179" i="4"/>
  <c r="Z1178" i="4"/>
  <c r="AI1178" i="4"/>
  <c r="S1132" i="4"/>
  <c r="W1132" i="4"/>
  <c r="AD1179" i="4"/>
  <c r="AA1178" i="4"/>
  <c r="V1178" i="4"/>
  <c r="AE1178" i="4"/>
  <c r="AG1178" i="4"/>
  <c r="W1178" i="4"/>
  <c r="AD1178" i="4"/>
  <c r="Y1178" i="4"/>
  <c r="AC1134" i="4"/>
  <c r="AD1132" i="4"/>
  <c r="AG1180" i="4"/>
  <c r="W1179" i="4"/>
  <c r="AF1180" i="4"/>
  <c r="Z1179" i="4"/>
  <c r="AB1178" i="4"/>
  <c r="Y1179" i="4"/>
  <c r="AK1180" i="4"/>
  <c r="AH1180" i="4"/>
  <c r="AD1180" i="4"/>
  <c r="AJ1179" i="4"/>
  <c r="R1132" i="4"/>
  <c r="AD1134" i="4"/>
  <c r="AC1180" i="4"/>
  <c r="AK1178" i="4"/>
  <c r="AB1180" i="4"/>
  <c r="V1179" i="4"/>
  <c r="X1178" i="4"/>
  <c r="AK1179" i="4"/>
  <c r="U1179" i="4"/>
  <c r="AH1178" i="4"/>
  <c r="AI1179" i="4"/>
  <c r="T1179" i="4"/>
  <c r="AB1179" i="4"/>
  <c r="X1179" i="4"/>
  <c r="AE1134" i="4"/>
  <c r="AE1179" i="4"/>
  <c r="AC1178" i="4"/>
  <c r="AH1179" i="4"/>
  <c r="AJ1178" i="4"/>
  <c r="T1178" i="4"/>
  <c r="AG1179" i="4"/>
  <c r="U1178" i="4"/>
  <c r="X1132" i="4"/>
  <c r="AB1132" i="4"/>
  <c r="U1132" i="4"/>
  <c r="AE1133" i="4"/>
  <c r="AA1133" i="4"/>
  <c r="W1133" i="4"/>
  <c r="AC1132" i="4"/>
  <c r="AB1133" i="4"/>
  <c r="AD1133" i="4"/>
  <c r="Z1133" i="4"/>
  <c r="V1133" i="4"/>
  <c r="AC1133" i="4"/>
  <c r="Y1133" i="4"/>
  <c r="U1133" i="4"/>
  <c r="X1133" i="4"/>
  <c r="T1133" i="4"/>
  <c r="Z1132" i="4"/>
  <c r="AE1132" i="4"/>
  <c r="T1132" i="4"/>
  <c r="AA1132" i="4"/>
  <c r="Y1132" i="4"/>
  <c r="V1132" i="4"/>
  <c r="S508" i="4"/>
  <c r="N609" i="4"/>
  <c r="K609" i="4"/>
  <c r="P609" i="4"/>
  <c r="U609" i="4"/>
  <c r="Z610" i="4"/>
  <c r="AB610" i="4"/>
  <c r="AF610" i="4"/>
  <c r="T609" i="4"/>
  <c r="M609" i="4"/>
  <c r="AD610" i="4"/>
  <c r="AG610" i="4"/>
  <c r="AJ610" i="4"/>
  <c r="AC610" i="4"/>
  <c r="X609" i="4"/>
  <c r="Q609" i="4"/>
  <c r="AH610" i="4"/>
  <c r="AE610" i="4"/>
  <c r="AK610" i="4"/>
  <c r="W609" i="4"/>
  <c r="L609" i="4"/>
  <c r="Y609" i="4"/>
  <c r="AI610" i="4"/>
  <c r="Z609" i="4"/>
  <c r="O609" i="4"/>
  <c r="T509" i="4"/>
  <c r="T508" i="4"/>
  <c r="S609" i="4"/>
  <c r="AA610" i="4"/>
  <c r="X508" i="4"/>
  <c r="R508" i="4"/>
  <c r="Y509" i="4"/>
  <c r="R509" i="4"/>
  <c r="Y508" i="4"/>
  <c r="R245" i="4"/>
  <c r="AA303" i="4"/>
  <c r="AB303" i="4"/>
  <c r="AC303" i="4"/>
  <c r="AD303" i="4"/>
  <c r="AE303" i="4"/>
  <c r="AF303" i="4"/>
  <c r="AG303" i="4"/>
  <c r="AH303" i="4"/>
  <c r="AI303" i="4"/>
  <c r="AJ303" i="4"/>
  <c r="AK303" i="4"/>
  <c r="AA302" i="4"/>
  <c r="AB302" i="4"/>
  <c r="AC302" i="4"/>
  <c r="AD302" i="4"/>
  <c r="AE302" i="4"/>
  <c r="AF302" i="4"/>
  <c r="AG302" i="4"/>
  <c r="AH302" i="4"/>
  <c r="AI302" i="4"/>
  <c r="AJ302" i="4"/>
  <c r="AK302" i="4"/>
  <c r="AE510" i="4"/>
  <c r="AB505" i="4"/>
  <c r="AF510" i="4"/>
  <c r="AG510" i="4"/>
  <c r="AC505" i="4"/>
  <c r="AD505" i="4"/>
  <c r="AE505" i="4"/>
  <c r="AF505" i="4"/>
  <c r="AG505" i="4"/>
  <c r="Q772" i="4" l="1"/>
  <c r="R772" i="4"/>
  <c r="S772" i="4"/>
  <c r="T772" i="4"/>
  <c r="U772" i="4"/>
  <c r="Q773" i="4"/>
  <c r="R773" i="4"/>
  <c r="S773" i="4"/>
  <c r="T773" i="4"/>
  <c r="U773" i="4"/>
  <c r="Q774" i="4"/>
  <c r="R774" i="4"/>
  <c r="S774" i="4"/>
  <c r="T774" i="4"/>
  <c r="U774" i="4"/>
  <c r="Q775" i="4"/>
  <c r="R775" i="4"/>
  <c r="S775" i="4"/>
  <c r="T775" i="4"/>
  <c r="U775" i="4"/>
  <c r="Q776" i="4"/>
  <c r="R776" i="4"/>
  <c r="S776" i="4"/>
  <c r="T776" i="4"/>
  <c r="U776" i="4"/>
  <c r="Q777" i="4"/>
  <c r="R777" i="4"/>
  <c r="S777" i="4"/>
  <c r="T777" i="4"/>
  <c r="U777" i="4"/>
  <c r="Q778" i="4"/>
  <c r="R778" i="4"/>
  <c r="S778" i="4"/>
  <c r="T778" i="4"/>
  <c r="U778" i="4"/>
  <c r="Q779" i="4"/>
  <c r="R779" i="4"/>
  <c r="S779" i="4"/>
  <c r="T779" i="4"/>
  <c r="U779" i="4"/>
  <c r="Q780" i="4"/>
  <c r="R780" i="4"/>
  <c r="S780" i="4"/>
  <c r="T780" i="4"/>
  <c r="U780" i="4"/>
  <c r="Q781" i="4"/>
  <c r="R781" i="4"/>
  <c r="S781" i="4"/>
  <c r="T781" i="4"/>
  <c r="U781" i="4"/>
  <c r="Q782" i="4"/>
  <c r="R782" i="4"/>
  <c r="S782" i="4"/>
  <c r="T782" i="4"/>
  <c r="U782" i="4"/>
  <c r="Q783" i="4"/>
  <c r="R783" i="4"/>
  <c r="S783" i="4"/>
  <c r="T783" i="4"/>
  <c r="U783" i="4"/>
  <c r="AA774" i="4"/>
  <c r="Q709" i="4"/>
  <c r="R709" i="4"/>
  <c r="S709" i="4"/>
  <c r="T709" i="4"/>
  <c r="U709" i="4"/>
  <c r="V709" i="4"/>
  <c r="W709" i="4"/>
  <c r="X709" i="4"/>
  <c r="Y709" i="4"/>
  <c r="Q710" i="4"/>
  <c r="R710" i="4"/>
  <c r="S710" i="4"/>
  <c r="T710" i="4"/>
  <c r="U710" i="4"/>
  <c r="V710" i="4"/>
  <c r="W710" i="4"/>
  <c r="X710" i="4"/>
  <c r="Y710" i="4"/>
  <c r="Q711" i="4"/>
  <c r="R711" i="4"/>
  <c r="S711" i="4"/>
  <c r="T711" i="4"/>
  <c r="U711" i="4"/>
  <c r="V711" i="4"/>
  <c r="W711" i="4"/>
  <c r="X711" i="4"/>
  <c r="Y711" i="4"/>
  <c r="Q718" i="4"/>
  <c r="R718" i="4"/>
  <c r="S718" i="4"/>
  <c r="T718" i="4"/>
  <c r="U718" i="4"/>
  <c r="V718" i="4"/>
  <c r="W718" i="4"/>
  <c r="X718" i="4"/>
  <c r="Y718" i="4"/>
  <c r="Q716" i="4"/>
  <c r="R716" i="4"/>
  <c r="S716" i="4"/>
  <c r="T716" i="4"/>
  <c r="U716" i="4"/>
  <c r="V716" i="4"/>
  <c r="W716" i="4"/>
  <c r="X716" i="4"/>
  <c r="Y716" i="4"/>
  <c r="S717" i="4"/>
  <c r="R717" i="4" s="1"/>
  <c r="U717" i="4"/>
  <c r="V717" i="4" s="1"/>
  <c r="W717" i="4" s="1"/>
  <c r="X717" i="4" s="1"/>
  <c r="Y717" i="4" s="1"/>
  <c r="Z717" i="4" s="1"/>
  <c r="AA717" i="4" s="1"/>
  <c r="AB717" i="4" s="1"/>
  <c r="AC717" i="4" s="1"/>
  <c r="AD717" i="4" s="1"/>
  <c r="AE717" i="4" s="1"/>
  <c r="AF717" i="4" s="1"/>
  <c r="AG717" i="4" s="1"/>
  <c r="AH717" i="4" s="1"/>
  <c r="AI717" i="4" s="1"/>
  <c r="AJ717" i="4" s="1"/>
  <c r="AK717" i="4" s="1"/>
  <c r="Q738" i="4"/>
  <c r="R738" i="4"/>
  <c r="S738" i="4"/>
  <c r="T738" i="4"/>
  <c r="U738" i="4"/>
  <c r="V738" i="4"/>
  <c r="W738" i="4"/>
  <c r="Q739" i="4"/>
  <c r="R739" i="4"/>
  <c r="S739" i="4"/>
  <c r="T739" i="4"/>
  <c r="U739" i="4"/>
  <c r="V739" i="4"/>
  <c r="W739" i="4"/>
  <c r="Q740" i="4"/>
  <c r="R740" i="4"/>
  <c r="S740" i="4"/>
  <c r="T740" i="4"/>
  <c r="U740" i="4"/>
  <c r="V740" i="4"/>
  <c r="W740" i="4"/>
  <c r="Q741" i="4"/>
  <c r="R741" i="4"/>
  <c r="S741" i="4"/>
  <c r="T741" i="4"/>
  <c r="U741" i="4"/>
  <c r="V741" i="4"/>
  <c r="W741" i="4"/>
  <c r="W772" i="4"/>
  <c r="X772" i="4"/>
  <c r="Y772" i="4"/>
  <c r="Z772" i="4"/>
  <c r="AA772" i="4"/>
  <c r="AB772" i="4"/>
  <c r="AC772" i="4"/>
  <c r="AD772" i="4"/>
  <c r="AE772" i="4"/>
  <c r="AF772" i="4"/>
  <c r="AG772" i="4"/>
  <c r="AH772" i="4"/>
  <c r="AI772" i="4"/>
  <c r="AJ772" i="4"/>
  <c r="AK772" i="4"/>
  <c r="W773" i="4"/>
  <c r="X773" i="4"/>
  <c r="Y773" i="4"/>
  <c r="Z773" i="4"/>
  <c r="AA773" i="4"/>
  <c r="AB773" i="4"/>
  <c r="AC773" i="4"/>
  <c r="AD773" i="4"/>
  <c r="AE773" i="4"/>
  <c r="AF773" i="4"/>
  <c r="AG773" i="4"/>
  <c r="AH773" i="4"/>
  <c r="AI773" i="4"/>
  <c r="AJ773" i="4"/>
  <c r="AK773" i="4"/>
  <c r="W774" i="4"/>
  <c r="X774" i="4"/>
  <c r="Y774" i="4"/>
  <c r="Z774" i="4"/>
  <c r="AB774" i="4"/>
  <c r="AC774" i="4"/>
  <c r="AD774" i="4"/>
  <c r="AE774" i="4"/>
  <c r="AF774" i="4"/>
  <c r="AG774" i="4"/>
  <c r="AH774" i="4"/>
  <c r="AI774" i="4"/>
  <c r="AJ774" i="4"/>
  <c r="AK774" i="4"/>
  <c r="W775" i="4"/>
  <c r="X775" i="4"/>
  <c r="Y775" i="4"/>
  <c r="Z775" i="4"/>
  <c r="AA775" i="4"/>
  <c r="AB775" i="4"/>
  <c r="AC775" i="4"/>
  <c r="AD775" i="4"/>
  <c r="AE775" i="4"/>
  <c r="AF775" i="4"/>
  <c r="AG775" i="4"/>
  <c r="AH775" i="4"/>
  <c r="AI775" i="4"/>
  <c r="AJ775" i="4"/>
  <c r="AK775" i="4"/>
  <c r="W776" i="4"/>
  <c r="X776" i="4"/>
  <c r="Y776" i="4"/>
  <c r="Z776" i="4"/>
  <c r="AA776" i="4"/>
  <c r="AB776" i="4"/>
  <c r="AC776" i="4"/>
  <c r="AD776" i="4"/>
  <c r="AE776" i="4"/>
  <c r="AF776" i="4"/>
  <c r="AG776" i="4"/>
  <c r="AH776" i="4"/>
  <c r="AI776" i="4"/>
  <c r="AJ776" i="4"/>
  <c r="AK776" i="4"/>
  <c r="W777" i="4"/>
  <c r="X777" i="4"/>
  <c r="Y777" i="4"/>
  <c r="Z777" i="4"/>
  <c r="AA777" i="4"/>
  <c r="AB777" i="4"/>
  <c r="AC777" i="4"/>
  <c r="AD777" i="4"/>
  <c r="AE777" i="4"/>
  <c r="AF777" i="4"/>
  <c r="AG777" i="4"/>
  <c r="AH777" i="4"/>
  <c r="AI777" i="4"/>
  <c r="AJ777" i="4"/>
  <c r="AK777" i="4"/>
  <c r="W778" i="4"/>
  <c r="X778" i="4"/>
  <c r="Y778" i="4"/>
  <c r="Z778" i="4"/>
  <c r="AA778" i="4"/>
  <c r="AB778" i="4"/>
  <c r="AC778" i="4"/>
  <c r="AD778" i="4"/>
  <c r="AE778" i="4"/>
  <c r="AF778" i="4"/>
  <c r="AG778" i="4"/>
  <c r="AH778" i="4"/>
  <c r="AI778" i="4"/>
  <c r="AJ778" i="4"/>
  <c r="AK778" i="4"/>
  <c r="W779" i="4"/>
  <c r="X779" i="4"/>
  <c r="Y779" i="4"/>
  <c r="Z779" i="4"/>
  <c r="AA779" i="4"/>
  <c r="AB779" i="4"/>
  <c r="AC779" i="4"/>
  <c r="AD779" i="4"/>
  <c r="AE779" i="4"/>
  <c r="AF779" i="4"/>
  <c r="AG779" i="4"/>
  <c r="AH779" i="4"/>
  <c r="AI779" i="4"/>
  <c r="AJ779" i="4"/>
  <c r="AK779" i="4"/>
  <c r="W780" i="4"/>
  <c r="X780" i="4"/>
  <c r="Y780" i="4"/>
  <c r="Z780" i="4"/>
  <c r="AA780" i="4"/>
  <c r="AB780" i="4"/>
  <c r="AC780" i="4"/>
  <c r="AD780" i="4"/>
  <c r="AE780" i="4"/>
  <c r="AF780" i="4"/>
  <c r="AG780" i="4"/>
  <c r="AH780" i="4"/>
  <c r="AI780" i="4"/>
  <c r="AJ780" i="4"/>
  <c r="AK780" i="4"/>
  <c r="W781" i="4"/>
  <c r="X781" i="4"/>
  <c r="Y781" i="4"/>
  <c r="Z781" i="4"/>
  <c r="AA781" i="4"/>
  <c r="AB781" i="4"/>
  <c r="AC781" i="4"/>
  <c r="AD781" i="4"/>
  <c r="AE781" i="4"/>
  <c r="AF781" i="4"/>
  <c r="AG781" i="4"/>
  <c r="AH781" i="4"/>
  <c r="AI781" i="4"/>
  <c r="AJ781" i="4"/>
  <c r="AK781" i="4"/>
  <c r="W782" i="4"/>
  <c r="X782" i="4"/>
  <c r="Y782" i="4"/>
  <c r="Z782" i="4"/>
  <c r="AA782" i="4"/>
  <c r="AB782" i="4"/>
  <c r="AC782" i="4"/>
  <c r="AD782" i="4"/>
  <c r="AE782" i="4"/>
  <c r="AF782" i="4"/>
  <c r="AG782" i="4"/>
  <c r="AH782" i="4"/>
  <c r="AI782" i="4"/>
  <c r="AJ782" i="4"/>
  <c r="AK782" i="4"/>
  <c r="W783" i="4"/>
  <c r="X783" i="4"/>
  <c r="Y783" i="4"/>
  <c r="Z783" i="4"/>
  <c r="AA783" i="4"/>
  <c r="AB783" i="4"/>
  <c r="AC783" i="4"/>
  <c r="AD783" i="4"/>
  <c r="AE783" i="4"/>
  <c r="AF783" i="4"/>
  <c r="AG783" i="4"/>
  <c r="AH783" i="4"/>
  <c r="AI783" i="4"/>
  <c r="AJ783" i="4"/>
  <c r="AK783" i="4"/>
  <c r="V783" i="4"/>
  <c r="V782" i="4"/>
  <c r="V781" i="4"/>
  <c r="V780" i="4"/>
  <c r="V779" i="4"/>
  <c r="V778" i="4"/>
  <c r="V777" i="4"/>
  <c r="V776" i="4"/>
  <c r="V775" i="4"/>
  <c r="V774" i="4"/>
  <c r="V773" i="4"/>
  <c r="V772" i="4"/>
  <c r="J759" i="4"/>
  <c r="K759" i="4"/>
  <c r="L759" i="4"/>
  <c r="M759" i="4"/>
  <c r="N759" i="4"/>
  <c r="O759" i="4"/>
  <c r="P759" i="4"/>
  <c r="Q759" i="4"/>
  <c r="R759" i="4"/>
  <c r="S759" i="4"/>
  <c r="T759" i="4"/>
  <c r="U759" i="4"/>
  <c r="V759" i="4"/>
  <c r="W759" i="4"/>
  <c r="X759" i="4"/>
  <c r="Y759" i="4"/>
  <c r="Z759" i="4"/>
  <c r="AA759" i="4"/>
  <c r="AB759" i="4"/>
  <c r="AC759" i="4"/>
  <c r="AD759" i="4"/>
  <c r="AE759" i="4"/>
  <c r="AF759" i="4"/>
  <c r="AG759" i="4"/>
  <c r="AH759" i="4"/>
  <c r="AI759" i="4"/>
  <c r="AJ759" i="4"/>
  <c r="AK759" i="4"/>
  <c r="J760" i="4"/>
  <c r="K760" i="4"/>
  <c r="L760" i="4"/>
  <c r="M760" i="4"/>
  <c r="N760" i="4"/>
  <c r="O760" i="4"/>
  <c r="P760" i="4"/>
  <c r="Q760" i="4"/>
  <c r="R760" i="4"/>
  <c r="S760" i="4"/>
  <c r="T760" i="4"/>
  <c r="U760" i="4"/>
  <c r="V760" i="4"/>
  <c r="W760" i="4"/>
  <c r="X760" i="4"/>
  <c r="Y760" i="4"/>
  <c r="Z760" i="4"/>
  <c r="AA760" i="4"/>
  <c r="AB760" i="4"/>
  <c r="AC760" i="4"/>
  <c r="AD760" i="4"/>
  <c r="AE760" i="4"/>
  <c r="AF760" i="4"/>
  <c r="AG760" i="4"/>
  <c r="AH760" i="4"/>
  <c r="AI760" i="4"/>
  <c r="AJ760" i="4"/>
  <c r="AK760" i="4"/>
  <c r="J761" i="4"/>
  <c r="K761" i="4"/>
  <c r="L761" i="4"/>
  <c r="M761" i="4"/>
  <c r="N761" i="4"/>
  <c r="O761" i="4"/>
  <c r="P761" i="4"/>
  <c r="Q761" i="4"/>
  <c r="R761" i="4"/>
  <c r="S761" i="4"/>
  <c r="T761" i="4"/>
  <c r="U761" i="4"/>
  <c r="V761" i="4"/>
  <c r="W761" i="4"/>
  <c r="X761" i="4"/>
  <c r="Y761" i="4"/>
  <c r="Z761" i="4"/>
  <c r="AA761" i="4"/>
  <c r="AB761" i="4"/>
  <c r="AC761" i="4"/>
  <c r="AD761" i="4"/>
  <c r="AE761" i="4"/>
  <c r="AF761" i="4"/>
  <c r="AG761" i="4"/>
  <c r="AH761" i="4"/>
  <c r="AI761" i="4"/>
  <c r="AJ761" i="4"/>
  <c r="AK761" i="4"/>
  <c r="J762" i="4"/>
  <c r="K762" i="4"/>
  <c r="L762" i="4"/>
  <c r="M762" i="4"/>
  <c r="N762" i="4"/>
  <c r="O762" i="4"/>
  <c r="P762" i="4"/>
  <c r="Q762" i="4"/>
  <c r="R762" i="4"/>
  <c r="S762" i="4"/>
  <c r="T762" i="4"/>
  <c r="U762" i="4"/>
  <c r="V762" i="4"/>
  <c r="W762" i="4"/>
  <c r="X762" i="4"/>
  <c r="Y762" i="4"/>
  <c r="Z762" i="4"/>
  <c r="AA762" i="4"/>
  <c r="AB762" i="4"/>
  <c r="AC762" i="4"/>
  <c r="AD762" i="4"/>
  <c r="AE762" i="4"/>
  <c r="AF762" i="4"/>
  <c r="AG762" i="4"/>
  <c r="AH762" i="4"/>
  <c r="AI762" i="4"/>
  <c r="AJ762" i="4"/>
  <c r="AK762" i="4"/>
  <c r="J763" i="4"/>
  <c r="K763" i="4"/>
  <c r="L763" i="4"/>
  <c r="M763" i="4"/>
  <c r="N763" i="4"/>
  <c r="O763" i="4"/>
  <c r="P763" i="4"/>
  <c r="Q763" i="4"/>
  <c r="R763" i="4"/>
  <c r="S763" i="4"/>
  <c r="T763" i="4"/>
  <c r="U763" i="4"/>
  <c r="V763" i="4"/>
  <c r="W763" i="4"/>
  <c r="X763" i="4"/>
  <c r="Y763" i="4"/>
  <c r="Z763" i="4"/>
  <c r="AA763" i="4"/>
  <c r="AB763" i="4"/>
  <c r="AC763" i="4"/>
  <c r="AD763" i="4"/>
  <c r="AE763" i="4"/>
  <c r="AF763" i="4"/>
  <c r="AG763" i="4"/>
  <c r="AH763" i="4"/>
  <c r="AI763" i="4"/>
  <c r="AJ763" i="4"/>
  <c r="AK763" i="4"/>
  <c r="J764" i="4"/>
  <c r="K764" i="4"/>
  <c r="L764" i="4"/>
  <c r="M764" i="4"/>
  <c r="N764" i="4"/>
  <c r="O764" i="4"/>
  <c r="P764" i="4"/>
  <c r="Q764" i="4"/>
  <c r="R764" i="4"/>
  <c r="S764" i="4"/>
  <c r="T764" i="4"/>
  <c r="U764" i="4"/>
  <c r="V764" i="4"/>
  <c r="W764" i="4"/>
  <c r="X764" i="4"/>
  <c r="Y764" i="4"/>
  <c r="Z764" i="4"/>
  <c r="AA764" i="4"/>
  <c r="AB764" i="4"/>
  <c r="AC764" i="4"/>
  <c r="AD764" i="4"/>
  <c r="AE764" i="4"/>
  <c r="AF764" i="4"/>
  <c r="AG764" i="4"/>
  <c r="AH764" i="4"/>
  <c r="AI764" i="4"/>
  <c r="AJ764" i="4"/>
  <c r="AK764" i="4"/>
  <c r="J765" i="4"/>
  <c r="K765" i="4"/>
  <c r="L765" i="4"/>
  <c r="M765" i="4"/>
  <c r="N765" i="4"/>
  <c r="O765" i="4"/>
  <c r="P765" i="4"/>
  <c r="Q765" i="4"/>
  <c r="R765" i="4"/>
  <c r="S765" i="4"/>
  <c r="T765" i="4"/>
  <c r="U765" i="4"/>
  <c r="V765" i="4"/>
  <c r="W765" i="4"/>
  <c r="X765" i="4"/>
  <c r="Y765" i="4"/>
  <c r="Z765" i="4"/>
  <c r="AA765" i="4"/>
  <c r="AB765" i="4"/>
  <c r="AC765" i="4"/>
  <c r="AD765" i="4"/>
  <c r="AE765" i="4"/>
  <c r="AF765" i="4"/>
  <c r="AG765" i="4"/>
  <c r="AH765" i="4"/>
  <c r="AI765" i="4"/>
  <c r="AJ765" i="4"/>
  <c r="AK765" i="4"/>
  <c r="J766" i="4"/>
  <c r="K766" i="4"/>
  <c r="L766" i="4"/>
  <c r="M766" i="4"/>
  <c r="N766" i="4"/>
  <c r="O766" i="4"/>
  <c r="P766" i="4"/>
  <c r="Q766" i="4"/>
  <c r="R766" i="4"/>
  <c r="S766" i="4"/>
  <c r="T766" i="4"/>
  <c r="U766" i="4"/>
  <c r="V766" i="4"/>
  <c r="W766" i="4"/>
  <c r="X766" i="4"/>
  <c r="Y766" i="4"/>
  <c r="Z766" i="4"/>
  <c r="AA766" i="4"/>
  <c r="AB766" i="4"/>
  <c r="AC766" i="4"/>
  <c r="AD766" i="4"/>
  <c r="AE766" i="4"/>
  <c r="AF766" i="4"/>
  <c r="AG766" i="4"/>
  <c r="AH766" i="4"/>
  <c r="AI766" i="4"/>
  <c r="AJ766" i="4"/>
  <c r="AK766" i="4"/>
  <c r="J767" i="4"/>
  <c r="K767" i="4"/>
  <c r="L767" i="4"/>
  <c r="M767" i="4"/>
  <c r="N767" i="4"/>
  <c r="O767" i="4"/>
  <c r="P767" i="4"/>
  <c r="Q767" i="4"/>
  <c r="R767" i="4"/>
  <c r="S767" i="4"/>
  <c r="T767" i="4"/>
  <c r="U767" i="4"/>
  <c r="V767" i="4"/>
  <c r="W767" i="4"/>
  <c r="X767" i="4"/>
  <c r="Y767" i="4"/>
  <c r="Z767" i="4"/>
  <c r="AA767" i="4"/>
  <c r="AB767" i="4"/>
  <c r="AC767" i="4"/>
  <c r="AD767" i="4"/>
  <c r="AE767" i="4"/>
  <c r="AF767" i="4"/>
  <c r="AG767" i="4"/>
  <c r="AH767" i="4"/>
  <c r="AI767" i="4"/>
  <c r="AJ767" i="4"/>
  <c r="AK767" i="4"/>
  <c r="J768" i="4"/>
  <c r="K768" i="4"/>
  <c r="L768" i="4"/>
  <c r="M768" i="4"/>
  <c r="N768" i="4"/>
  <c r="O768" i="4"/>
  <c r="P768" i="4"/>
  <c r="Q768" i="4"/>
  <c r="R768" i="4"/>
  <c r="S768" i="4"/>
  <c r="T768" i="4"/>
  <c r="U768" i="4"/>
  <c r="V768" i="4"/>
  <c r="W768" i="4"/>
  <c r="X768" i="4"/>
  <c r="Y768" i="4"/>
  <c r="Z768" i="4"/>
  <c r="AA768" i="4"/>
  <c r="AB768" i="4"/>
  <c r="AC768" i="4"/>
  <c r="AD768" i="4"/>
  <c r="AE768" i="4"/>
  <c r="AF768" i="4"/>
  <c r="AG768" i="4"/>
  <c r="AH768" i="4"/>
  <c r="AI768" i="4"/>
  <c r="AJ768" i="4"/>
  <c r="AK768" i="4"/>
  <c r="J769" i="4"/>
  <c r="K769" i="4"/>
  <c r="L769" i="4"/>
  <c r="M769" i="4"/>
  <c r="N769" i="4"/>
  <c r="O769" i="4"/>
  <c r="P769" i="4"/>
  <c r="Q769" i="4"/>
  <c r="R769" i="4"/>
  <c r="S769" i="4"/>
  <c r="T769" i="4"/>
  <c r="U769" i="4"/>
  <c r="V769" i="4"/>
  <c r="W769" i="4"/>
  <c r="X769" i="4"/>
  <c r="Y769" i="4"/>
  <c r="Z769" i="4"/>
  <c r="AA769" i="4"/>
  <c r="AB769" i="4"/>
  <c r="AC769" i="4"/>
  <c r="AD769" i="4"/>
  <c r="AE769" i="4"/>
  <c r="AF769" i="4"/>
  <c r="AG769" i="4"/>
  <c r="AH769" i="4"/>
  <c r="AI769" i="4"/>
  <c r="AJ769" i="4"/>
  <c r="AK769" i="4"/>
  <c r="J770" i="4"/>
  <c r="K770" i="4"/>
  <c r="L770" i="4"/>
  <c r="M770" i="4"/>
  <c r="N770" i="4"/>
  <c r="O770" i="4"/>
  <c r="P770" i="4"/>
  <c r="Q770" i="4"/>
  <c r="R770" i="4"/>
  <c r="S770" i="4"/>
  <c r="T770" i="4"/>
  <c r="U770" i="4"/>
  <c r="V770" i="4"/>
  <c r="W770" i="4"/>
  <c r="X770" i="4"/>
  <c r="Y770" i="4"/>
  <c r="Z770" i="4"/>
  <c r="AA770" i="4"/>
  <c r="AB770" i="4"/>
  <c r="AC770" i="4"/>
  <c r="AD770" i="4"/>
  <c r="AE770" i="4"/>
  <c r="AF770" i="4"/>
  <c r="AG770" i="4"/>
  <c r="AH770" i="4"/>
  <c r="AI770" i="4"/>
  <c r="AJ770" i="4"/>
  <c r="AK770" i="4"/>
  <c r="I770" i="4"/>
  <c r="I769" i="4"/>
  <c r="I768" i="4"/>
  <c r="I767" i="4"/>
  <c r="I766" i="4"/>
  <c r="I765" i="4"/>
  <c r="I764" i="4"/>
  <c r="I763" i="4"/>
  <c r="I762" i="4"/>
  <c r="I761" i="4"/>
  <c r="I760" i="4"/>
  <c r="I759" i="4"/>
  <c r="R720" i="4"/>
  <c r="S720" i="4"/>
  <c r="T720" i="4"/>
  <c r="U720" i="4"/>
  <c r="V720" i="4"/>
  <c r="W720" i="4"/>
  <c r="X720" i="4"/>
  <c r="Y720" i="4"/>
  <c r="Z720" i="4"/>
  <c r="AA720" i="4"/>
  <c r="AB720" i="4"/>
  <c r="AC720" i="4"/>
  <c r="AD720" i="4"/>
  <c r="AE720" i="4"/>
  <c r="AF720" i="4"/>
  <c r="AG720" i="4"/>
  <c r="AH720" i="4"/>
  <c r="AI720" i="4"/>
  <c r="AJ720" i="4"/>
  <c r="AK720" i="4"/>
  <c r="R721" i="4"/>
  <c r="S721" i="4"/>
  <c r="T721" i="4"/>
  <c r="U721" i="4"/>
  <c r="V721" i="4"/>
  <c r="W721" i="4"/>
  <c r="X721" i="4"/>
  <c r="Y721" i="4"/>
  <c r="Z721" i="4"/>
  <c r="AA721" i="4"/>
  <c r="AB721" i="4"/>
  <c r="AC721" i="4"/>
  <c r="AD721" i="4"/>
  <c r="AE721" i="4"/>
  <c r="AF721" i="4"/>
  <c r="AG721" i="4"/>
  <c r="AH721" i="4"/>
  <c r="AI721" i="4"/>
  <c r="AJ721" i="4"/>
  <c r="AK721" i="4"/>
  <c r="R722" i="4"/>
  <c r="S722" i="4"/>
  <c r="T722" i="4"/>
  <c r="U722" i="4"/>
  <c r="V722" i="4"/>
  <c r="W722" i="4"/>
  <c r="X722" i="4"/>
  <c r="Y722" i="4"/>
  <c r="Z722" i="4"/>
  <c r="AA722" i="4"/>
  <c r="AB722" i="4"/>
  <c r="AC722" i="4"/>
  <c r="AD722" i="4"/>
  <c r="AE722" i="4"/>
  <c r="AF722" i="4"/>
  <c r="AG722" i="4"/>
  <c r="AH722" i="4"/>
  <c r="AI722" i="4"/>
  <c r="AJ722" i="4"/>
  <c r="AK722" i="4"/>
  <c r="R723" i="4"/>
  <c r="S723" i="4"/>
  <c r="T723" i="4"/>
  <c r="U723" i="4"/>
  <c r="V723" i="4"/>
  <c r="W723" i="4"/>
  <c r="X723" i="4"/>
  <c r="Y723" i="4"/>
  <c r="Z723" i="4"/>
  <c r="AA723" i="4"/>
  <c r="AB723" i="4"/>
  <c r="AC723" i="4"/>
  <c r="AD723" i="4"/>
  <c r="AE723" i="4"/>
  <c r="AF723" i="4"/>
  <c r="AG723" i="4"/>
  <c r="AH723" i="4"/>
  <c r="AI723" i="4"/>
  <c r="AJ723" i="4"/>
  <c r="AK723" i="4"/>
  <c r="R724" i="4"/>
  <c r="S724" i="4"/>
  <c r="T724" i="4"/>
  <c r="U724" i="4"/>
  <c r="V724" i="4"/>
  <c r="W724" i="4"/>
  <c r="X724" i="4"/>
  <c r="Y724" i="4"/>
  <c r="Z724" i="4"/>
  <c r="AA724" i="4"/>
  <c r="AB724" i="4"/>
  <c r="AC724" i="4"/>
  <c r="AD724" i="4"/>
  <c r="AE724" i="4"/>
  <c r="AF724" i="4"/>
  <c r="AG724" i="4"/>
  <c r="AH724" i="4"/>
  <c r="AI724" i="4"/>
  <c r="AJ724" i="4"/>
  <c r="AK724" i="4"/>
  <c r="R725" i="4"/>
  <c r="S725" i="4"/>
  <c r="T725" i="4"/>
  <c r="U725" i="4"/>
  <c r="V725" i="4"/>
  <c r="W725" i="4"/>
  <c r="X725" i="4"/>
  <c r="Y725" i="4"/>
  <c r="Z725" i="4"/>
  <c r="AA725" i="4"/>
  <c r="AB725" i="4"/>
  <c r="AC725" i="4"/>
  <c r="AD725" i="4"/>
  <c r="AE725" i="4"/>
  <c r="AF725" i="4"/>
  <c r="AG725" i="4"/>
  <c r="AH725" i="4"/>
  <c r="AI725" i="4"/>
  <c r="AJ725" i="4"/>
  <c r="AK725" i="4"/>
  <c r="R726" i="4"/>
  <c r="S726" i="4"/>
  <c r="T726" i="4"/>
  <c r="U726" i="4"/>
  <c r="V726" i="4"/>
  <c r="W726" i="4"/>
  <c r="X726" i="4"/>
  <c r="Y726" i="4"/>
  <c r="Z726" i="4"/>
  <c r="AA726" i="4"/>
  <c r="AB726" i="4"/>
  <c r="AC726" i="4"/>
  <c r="AD726" i="4"/>
  <c r="AE726" i="4"/>
  <c r="AF726" i="4"/>
  <c r="AG726" i="4"/>
  <c r="AH726" i="4"/>
  <c r="AI726" i="4"/>
  <c r="AJ726" i="4"/>
  <c r="AK726" i="4"/>
  <c r="R727" i="4"/>
  <c r="S727" i="4"/>
  <c r="T727" i="4"/>
  <c r="U727" i="4"/>
  <c r="V727" i="4"/>
  <c r="W727" i="4"/>
  <c r="X727" i="4"/>
  <c r="Y727" i="4"/>
  <c r="Z727" i="4"/>
  <c r="AA727" i="4"/>
  <c r="AB727" i="4"/>
  <c r="AC727" i="4"/>
  <c r="AD727" i="4"/>
  <c r="AE727" i="4"/>
  <c r="AF727" i="4"/>
  <c r="AG727" i="4"/>
  <c r="AH727" i="4"/>
  <c r="AI727" i="4"/>
  <c r="AJ727" i="4"/>
  <c r="AK727" i="4"/>
  <c r="R728" i="4"/>
  <c r="S728" i="4"/>
  <c r="T728" i="4"/>
  <c r="U728" i="4"/>
  <c r="V728" i="4"/>
  <c r="W728" i="4"/>
  <c r="X728" i="4"/>
  <c r="Y728" i="4"/>
  <c r="Z728" i="4"/>
  <c r="AA728" i="4"/>
  <c r="AB728" i="4"/>
  <c r="AC728" i="4"/>
  <c r="AD728" i="4"/>
  <c r="AE728" i="4"/>
  <c r="AF728" i="4"/>
  <c r="AG728" i="4"/>
  <c r="AH728" i="4"/>
  <c r="AI728" i="4"/>
  <c r="AJ728" i="4"/>
  <c r="AK728" i="4"/>
  <c r="R729" i="4"/>
  <c r="S729" i="4"/>
  <c r="T729" i="4"/>
  <c r="U729" i="4"/>
  <c r="V729" i="4"/>
  <c r="W729" i="4"/>
  <c r="X729" i="4"/>
  <c r="Y729" i="4"/>
  <c r="Z729" i="4"/>
  <c r="AA729" i="4"/>
  <c r="AB729" i="4"/>
  <c r="AC729" i="4"/>
  <c r="AD729" i="4"/>
  <c r="AE729" i="4"/>
  <c r="AF729" i="4"/>
  <c r="AG729" i="4"/>
  <c r="AH729" i="4"/>
  <c r="AI729" i="4"/>
  <c r="AJ729" i="4"/>
  <c r="AK729" i="4"/>
  <c r="R730" i="4"/>
  <c r="S730" i="4"/>
  <c r="T730" i="4"/>
  <c r="U730" i="4"/>
  <c r="V730" i="4"/>
  <c r="W730" i="4"/>
  <c r="X730" i="4"/>
  <c r="Y730" i="4"/>
  <c r="Z730" i="4"/>
  <c r="AA730" i="4"/>
  <c r="AB730" i="4"/>
  <c r="AC730" i="4"/>
  <c r="AD730" i="4"/>
  <c r="AE730" i="4"/>
  <c r="AF730" i="4"/>
  <c r="AG730" i="4"/>
  <c r="AH730" i="4"/>
  <c r="AI730" i="4"/>
  <c r="AJ730" i="4"/>
  <c r="AK730" i="4"/>
  <c r="R731" i="4"/>
  <c r="S731" i="4"/>
  <c r="T731" i="4"/>
  <c r="U731" i="4"/>
  <c r="V731" i="4"/>
  <c r="W731" i="4"/>
  <c r="X731" i="4"/>
  <c r="Y731" i="4"/>
  <c r="Z731" i="4"/>
  <c r="AA731" i="4"/>
  <c r="AB731" i="4"/>
  <c r="AC731" i="4"/>
  <c r="AD731" i="4"/>
  <c r="AE731" i="4"/>
  <c r="AF731" i="4"/>
  <c r="AG731" i="4"/>
  <c r="AH731" i="4"/>
  <c r="AI731" i="4"/>
  <c r="AJ731" i="4"/>
  <c r="AK731" i="4"/>
  <c r="Q721" i="4"/>
  <c r="Q722" i="4"/>
  <c r="Q723" i="4"/>
  <c r="Q724" i="4"/>
  <c r="Q725" i="4"/>
  <c r="Q726" i="4"/>
  <c r="Q727" i="4"/>
  <c r="Q728" i="4"/>
  <c r="Q729" i="4"/>
  <c r="Q730" i="4"/>
  <c r="Q731" i="4"/>
  <c r="Q720" i="4"/>
  <c r="J403" i="4"/>
  <c r="K403" i="4"/>
  <c r="L403" i="4"/>
  <c r="M403" i="4"/>
  <c r="N403" i="4"/>
  <c r="O403" i="4"/>
  <c r="P403" i="4"/>
  <c r="Q403" i="4"/>
  <c r="R403" i="4"/>
  <c r="S403" i="4"/>
  <c r="T403" i="4"/>
  <c r="U403" i="4"/>
  <c r="V403" i="4"/>
  <c r="W403" i="4"/>
  <c r="X403" i="4"/>
  <c r="Y403" i="4"/>
  <c r="Z403" i="4"/>
  <c r="AA403" i="4"/>
  <c r="AB403" i="4"/>
  <c r="AC403" i="4"/>
  <c r="AD403" i="4"/>
  <c r="AE403" i="4"/>
  <c r="AF403" i="4"/>
  <c r="AG403" i="4"/>
  <c r="AH403" i="4"/>
  <c r="AI403" i="4"/>
  <c r="AJ403" i="4"/>
  <c r="AK403" i="4"/>
  <c r="I403" i="4"/>
  <c r="J1253" i="3"/>
  <c r="K1253" i="3"/>
  <c r="L1253" i="3"/>
  <c r="M1253" i="3"/>
  <c r="N1253" i="3"/>
  <c r="O1253" i="3"/>
  <c r="P1253" i="3"/>
  <c r="Q1253" i="3"/>
  <c r="R1253" i="3"/>
  <c r="S1253" i="3"/>
  <c r="T1253" i="3"/>
  <c r="U1253" i="3"/>
  <c r="V1253" i="3"/>
  <c r="W1253" i="3"/>
  <c r="X1253" i="3"/>
  <c r="Y1253" i="3"/>
  <c r="Z1253" i="3"/>
  <c r="AA1253" i="3"/>
  <c r="AB1253" i="3"/>
  <c r="AC1253" i="3"/>
  <c r="AD1253" i="3"/>
  <c r="AE1253" i="3"/>
  <c r="AF1253" i="3"/>
  <c r="AG1253" i="3"/>
  <c r="AH1253" i="3"/>
  <c r="AI1253" i="3"/>
  <c r="AJ1253" i="3"/>
  <c r="AK1253" i="3"/>
  <c r="I1253" i="3"/>
  <c r="AB1240" i="3"/>
  <c r="AB161" i="4" s="1"/>
  <c r="AC1240" i="3"/>
  <c r="AC161" i="4" s="1"/>
  <c r="AD1240" i="3"/>
  <c r="AD161" i="4" s="1"/>
  <c r="AE1240" i="3"/>
  <c r="AE161" i="4" s="1"/>
  <c r="AF1240" i="3"/>
  <c r="AF161" i="4" s="1"/>
  <c r="AG1240" i="3"/>
  <c r="AG161" i="4" s="1"/>
  <c r="AH1240" i="3"/>
  <c r="AH161" i="4" s="1"/>
  <c r="AI1240" i="3"/>
  <c r="AI161" i="4" s="1"/>
  <c r="AJ1240" i="3"/>
  <c r="AJ161" i="4" s="1"/>
  <c r="AK1240" i="3"/>
  <c r="AK161" i="4" s="1"/>
  <c r="I1240" i="3"/>
  <c r="J1240" i="3"/>
  <c r="K1240" i="3"/>
  <c r="L1240" i="3"/>
  <c r="M1240" i="3"/>
  <c r="N1240" i="3"/>
  <c r="O1240" i="3"/>
  <c r="O161" i="4" s="1"/>
  <c r="P1240" i="3"/>
  <c r="P161" i="4" s="1"/>
  <c r="Q1240" i="3"/>
  <c r="Q161" i="4" s="1"/>
  <c r="R1240" i="3"/>
  <c r="R161" i="4" s="1"/>
  <c r="S1240" i="3"/>
  <c r="S161" i="4" s="1"/>
  <c r="T1240" i="3"/>
  <c r="T161" i="4" s="1"/>
  <c r="U1240" i="3"/>
  <c r="U161" i="4" s="1"/>
  <c r="V1240" i="3"/>
  <c r="V161" i="4" s="1"/>
  <c r="W1240" i="3"/>
  <c r="W161" i="4" s="1"/>
  <c r="X1240" i="3"/>
  <c r="X161" i="4" s="1"/>
  <c r="Y1240" i="3"/>
  <c r="Y161" i="4" s="1"/>
  <c r="Z1240" i="3"/>
  <c r="Z161" i="4" s="1"/>
  <c r="AA1240" i="3"/>
  <c r="AA161" i="4" s="1"/>
  <c r="AH505" i="4"/>
  <c r="AI505" i="4"/>
  <c r="AH510" i="4"/>
  <c r="Z711" i="4" l="1"/>
  <c r="Z718" i="4"/>
  <c r="AA718" i="4" s="1"/>
  <c r="AA709" i="4"/>
  <c r="AA710" i="4"/>
  <c r="AB710" i="4" s="1"/>
  <c r="Z716" i="4"/>
  <c r="AJ505" i="4"/>
  <c r="AI510" i="4"/>
  <c r="AA711" i="4" l="1"/>
  <c r="AA716" i="4"/>
  <c r="AB716" i="4" s="1"/>
  <c r="AB709" i="4"/>
  <c r="AB718" i="4"/>
  <c r="AC718" i="4" s="1"/>
  <c r="AC710" i="4"/>
  <c r="AD710" i="4" s="1"/>
  <c r="AJ510" i="4"/>
  <c r="AK505" i="4"/>
  <c r="AC711" i="4" l="1"/>
  <c r="AD718" i="4"/>
  <c r="AE718" i="4" s="1"/>
  <c r="AC709" i="4"/>
  <c r="AD709" i="4" s="1"/>
  <c r="AC716" i="4"/>
  <c r="AB711" i="4"/>
  <c r="AE710" i="4"/>
  <c r="AK510" i="4"/>
  <c r="AE709" i="4" l="1"/>
  <c r="AF709" i="4" s="1"/>
  <c r="AF718" i="4"/>
  <c r="AG718" i="4" s="1"/>
  <c r="AD711" i="4"/>
  <c r="AD716" i="4"/>
  <c r="AE716" i="4" s="1"/>
  <c r="AF710" i="4"/>
  <c r="AE711" i="4" l="1"/>
  <c r="AG709" i="4"/>
  <c r="AH709" i="4" s="1"/>
  <c r="AI709" i="4" s="1"/>
  <c r="AH718" i="4"/>
  <c r="AI718" i="4" s="1"/>
  <c r="AJ718" i="4" s="1"/>
  <c r="AK718" i="4" s="1"/>
  <c r="AF711" i="4"/>
  <c r="AF716" i="4"/>
  <c r="AG711" i="4" s="1"/>
  <c r="AG710" i="4"/>
  <c r="AG716" i="4" l="1"/>
  <c r="AH716" i="4" s="1"/>
  <c r="AJ709" i="4"/>
  <c r="AK709" i="4" s="1"/>
  <c r="AH710" i="4"/>
  <c r="AI710" i="4" s="1"/>
  <c r="AI716" i="4" l="1"/>
  <c r="AJ716" i="4" s="1"/>
  <c r="AK711" i="4" s="1"/>
  <c r="AI711" i="4"/>
  <c r="AH711" i="4"/>
  <c r="AJ710" i="4"/>
  <c r="AK710" i="4" s="1"/>
  <c r="AJ711" i="4" l="1"/>
  <c r="AK716" i="4"/>
  <c r="V301" i="2"/>
  <c r="U301" i="2"/>
  <c r="T301" i="2"/>
  <c r="V300" i="2"/>
  <c r="U300" i="2"/>
  <c r="T300" i="2"/>
  <c r="V299" i="2"/>
  <c r="U299" i="2"/>
  <c r="T299" i="2"/>
  <c r="V298" i="2"/>
  <c r="U298" i="2"/>
  <c r="T298" i="2"/>
  <c r="V297" i="2"/>
  <c r="U297" i="2"/>
  <c r="T297" i="2"/>
  <c r="V296" i="2"/>
  <c r="U296" i="2"/>
  <c r="T296" i="2"/>
  <c r="V295" i="2"/>
  <c r="U295" i="2"/>
  <c r="T295" i="2"/>
  <c r="V294" i="2"/>
  <c r="U294" i="2"/>
  <c r="T294" i="2"/>
  <c r="V293" i="2"/>
  <c r="U293" i="2"/>
  <c r="T293" i="2"/>
  <c r="V292" i="2"/>
  <c r="U292" i="2"/>
  <c r="T292" i="2"/>
  <c r="V291" i="2"/>
  <c r="U291" i="2"/>
  <c r="T291" i="2"/>
  <c r="V290" i="2"/>
  <c r="U290" i="2"/>
  <c r="T290" i="2"/>
  <c r="V289" i="2"/>
  <c r="U289" i="2"/>
  <c r="T289" i="2"/>
  <c r="V288" i="2"/>
  <c r="U288" i="2"/>
  <c r="T288" i="2"/>
  <c r="V287" i="2"/>
  <c r="U287" i="2"/>
  <c r="T287" i="2"/>
  <c r="V286" i="2"/>
  <c r="U286" i="2"/>
  <c r="T286" i="2"/>
  <c r="V285" i="2"/>
  <c r="U285" i="2"/>
  <c r="T285" i="2"/>
  <c r="V284" i="2"/>
  <c r="U284" i="2"/>
  <c r="T284" i="2"/>
  <c r="V283" i="2"/>
  <c r="U283" i="2"/>
  <c r="T283" i="2"/>
  <c r="V282" i="2"/>
  <c r="U282" i="2"/>
  <c r="T282" i="2"/>
  <c r="V281" i="2"/>
  <c r="U281" i="2"/>
  <c r="T281" i="2"/>
  <c r="V280" i="2"/>
  <c r="U280" i="2"/>
  <c r="T280" i="2"/>
  <c r="V279" i="2"/>
  <c r="U279" i="2"/>
  <c r="T279" i="2"/>
  <c r="V278" i="2"/>
  <c r="U278" i="2"/>
  <c r="T278" i="2"/>
  <c r="V277" i="2"/>
  <c r="U277" i="2"/>
  <c r="T277" i="2"/>
  <c r="V276" i="2"/>
  <c r="U276" i="2"/>
  <c r="T276" i="2"/>
  <c r="V275" i="2"/>
  <c r="U275" i="2"/>
  <c r="T275" i="2"/>
  <c r="V274" i="2"/>
  <c r="U274" i="2"/>
  <c r="T274" i="2"/>
  <c r="V273" i="2"/>
  <c r="U273" i="2"/>
  <c r="T273" i="2"/>
  <c r="V272" i="2"/>
  <c r="U272" i="2"/>
  <c r="T272" i="2"/>
  <c r="V271" i="2"/>
  <c r="U271" i="2"/>
  <c r="T271" i="2"/>
  <c r="V270" i="2"/>
  <c r="U270" i="2"/>
  <c r="T270" i="2"/>
  <c r="V269" i="2"/>
  <c r="U269" i="2"/>
  <c r="T269" i="2"/>
  <c r="V268" i="2"/>
  <c r="U268" i="2"/>
  <c r="T268" i="2"/>
  <c r="V267" i="2"/>
  <c r="U267" i="2"/>
  <c r="T267" i="2"/>
  <c r="V266" i="2"/>
  <c r="U266" i="2"/>
  <c r="T266" i="2"/>
  <c r="V265" i="2"/>
  <c r="U265" i="2"/>
  <c r="T265" i="2"/>
  <c r="V264" i="2"/>
  <c r="U264" i="2"/>
  <c r="T264" i="2"/>
  <c r="V263" i="2"/>
  <c r="U263" i="2"/>
  <c r="T263" i="2"/>
  <c r="V262" i="2"/>
  <c r="U262" i="2"/>
  <c r="T262" i="2"/>
  <c r="V261" i="2"/>
  <c r="U261" i="2"/>
  <c r="T261" i="2"/>
  <c r="V260" i="2"/>
  <c r="U260" i="2"/>
  <c r="T260" i="2"/>
  <c r="V259" i="2"/>
  <c r="U259" i="2"/>
  <c r="T259" i="2"/>
  <c r="V258" i="2"/>
  <c r="U258" i="2"/>
  <c r="T258" i="2"/>
  <c r="V257" i="2"/>
  <c r="U257" i="2"/>
  <c r="T257" i="2"/>
  <c r="V256" i="2"/>
  <c r="U256" i="2"/>
  <c r="T256" i="2"/>
  <c r="V255" i="2"/>
  <c r="U255" i="2"/>
  <c r="T255" i="2"/>
  <c r="V254" i="2"/>
  <c r="U254" i="2"/>
  <c r="T254" i="2"/>
  <c r="V253" i="2"/>
  <c r="U253" i="2"/>
  <c r="T253" i="2"/>
  <c r="V252" i="2"/>
  <c r="U252" i="2"/>
  <c r="T252" i="2"/>
  <c r="V251" i="2"/>
  <c r="U251" i="2"/>
  <c r="T251" i="2"/>
  <c r="V250" i="2"/>
  <c r="U250" i="2"/>
  <c r="T250" i="2"/>
  <c r="V249" i="2"/>
  <c r="U249" i="2"/>
  <c r="T249" i="2"/>
  <c r="V248" i="2"/>
  <c r="U248" i="2"/>
  <c r="T248" i="2"/>
  <c r="V247" i="2"/>
  <c r="U247" i="2"/>
  <c r="T247" i="2"/>
  <c r="V246" i="2"/>
  <c r="U246" i="2"/>
  <c r="T246" i="2"/>
  <c r="V245" i="2"/>
  <c r="U245" i="2"/>
  <c r="T245" i="2"/>
  <c r="V244" i="2"/>
  <c r="U244" i="2"/>
  <c r="T244" i="2"/>
  <c r="V243" i="2"/>
  <c r="U243" i="2"/>
  <c r="T243" i="2"/>
  <c r="V242" i="2"/>
  <c r="U242" i="2"/>
  <c r="T242" i="2"/>
  <c r="V241" i="2"/>
  <c r="U241" i="2"/>
  <c r="T241" i="2"/>
  <c r="V240" i="2"/>
  <c r="U240" i="2"/>
  <c r="T240" i="2"/>
  <c r="V239" i="2"/>
  <c r="U239" i="2"/>
  <c r="T239" i="2"/>
  <c r="V238" i="2"/>
  <c r="U238" i="2"/>
  <c r="T238" i="2"/>
  <c r="V237" i="2"/>
  <c r="U237" i="2"/>
  <c r="T237" i="2"/>
  <c r="V236" i="2"/>
  <c r="U236" i="2"/>
  <c r="T236" i="2"/>
  <c r="V235" i="2"/>
  <c r="U235" i="2"/>
  <c r="T235" i="2"/>
  <c r="V234" i="2"/>
  <c r="U234" i="2"/>
  <c r="T234" i="2"/>
  <c r="V233" i="2"/>
  <c r="U233" i="2"/>
  <c r="T233" i="2"/>
  <c r="V232" i="2"/>
  <c r="U232" i="2"/>
  <c r="T232" i="2"/>
  <c r="V231" i="2"/>
  <c r="U231" i="2"/>
  <c r="T231" i="2"/>
  <c r="V230" i="2"/>
  <c r="U230" i="2"/>
  <c r="T230" i="2"/>
  <c r="V229" i="2"/>
  <c r="U229" i="2"/>
  <c r="T229" i="2"/>
  <c r="V228" i="2"/>
  <c r="U228" i="2"/>
  <c r="T228" i="2"/>
  <c r="V227" i="2"/>
  <c r="U227" i="2"/>
  <c r="T227" i="2"/>
  <c r="V226" i="2"/>
  <c r="U226" i="2"/>
  <c r="T226" i="2"/>
  <c r="V225" i="2"/>
  <c r="U225" i="2"/>
  <c r="T225" i="2"/>
  <c r="V224" i="2"/>
  <c r="U224" i="2"/>
  <c r="T224" i="2"/>
  <c r="V223" i="2"/>
  <c r="U223" i="2"/>
  <c r="T223" i="2"/>
  <c r="V222" i="2"/>
  <c r="U222" i="2"/>
  <c r="T222" i="2"/>
  <c r="V221" i="2"/>
  <c r="U221" i="2"/>
  <c r="T221" i="2"/>
  <c r="V220" i="2"/>
  <c r="U220" i="2"/>
  <c r="T220" i="2"/>
  <c r="V219" i="2"/>
  <c r="U219" i="2"/>
  <c r="T219" i="2"/>
  <c r="V218" i="2"/>
  <c r="U218" i="2"/>
  <c r="T218" i="2"/>
  <c r="V217" i="2"/>
  <c r="U217" i="2"/>
  <c r="T217" i="2"/>
  <c r="V216" i="2"/>
  <c r="U216" i="2"/>
  <c r="T216" i="2"/>
  <c r="V215" i="2"/>
  <c r="U215" i="2"/>
  <c r="T215" i="2"/>
  <c r="V214" i="2"/>
  <c r="U214" i="2"/>
  <c r="T214" i="2"/>
  <c r="V213" i="2"/>
  <c r="U213" i="2"/>
  <c r="T213" i="2"/>
  <c r="V212" i="2"/>
  <c r="U212" i="2"/>
  <c r="T212" i="2"/>
  <c r="V211" i="2"/>
  <c r="U211" i="2"/>
  <c r="T211" i="2"/>
  <c r="V210" i="2"/>
  <c r="U210" i="2"/>
  <c r="T210" i="2"/>
  <c r="V209" i="2"/>
  <c r="U209" i="2"/>
  <c r="T209" i="2"/>
  <c r="V208" i="2"/>
  <c r="U208" i="2"/>
  <c r="T208" i="2"/>
  <c r="V207" i="2"/>
  <c r="U207" i="2"/>
  <c r="T207" i="2"/>
  <c r="V206" i="2"/>
  <c r="U206" i="2"/>
  <c r="T206" i="2"/>
  <c r="V205" i="2"/>
  <c r="U205" i="2"/>
  <c r="T205" i="2"/>
  <c r="V204" i="2"/>
  <c r="U204" i="2"/>
  <c r="T204" i="2"/>
  <c r="V203" i="2"/>
  <c r="U203" i="2"/>
  <c r="T203" i="2"/>
  <c r="V202" i="2"/>
  <c r="U202" i="2"/>
  <c r="T202" i="2"/>
  <c r="V201" i="2"/>
  <c r="U201" i="2"/>
  <c r="T201" i="2"/>
  <c r="V200" i="2"/>
  <c r="U200" i="2"/>
  <c r="T200" i="2"/>
  <c r="V199" i="2"/>
  <c r="U199" i="2"/>
  <c r="T199" i="2"/>
  <c r="V198" i="2"/>
  <c r="U198" i="2"/>
  <c r="T198" i="2"/>
  <c r="V197" i="2"/>
  <c r="U197" i="2"/>
  <c r="T197" i="2"/>
  <c r="V196" i="2"/>
  <c r="U196" i="2"/>
  <c r="T196" i="2"/>
  <c r="V195" i="2"/>
  <c r="U195" i="2"/>
  <c r="T195" i="2"/>
  <c r="V194" i="2"/>
  <c r="U194" i="2"/>
  <c r="T194" i="2"/>
  <c r="V193" i="2"/>
  <c r="U193" i="2"/>
  <c r="T193" i="2"/>
  <c r="V192" i="2"/>
  <c r="U192" i="2"/>
  <c r="T192" i="2"/>
  <c r="V191" i="2"/>
  <c r="U191" i="2"/>
  <c r="T191" i="2"/>
  <c r="V190" i="2"/>
  <c r="U190" i="2"/>
  <c r="T190" i="2"/>
  <c r="V189" i="2"/>
  <c r="U189" i="2"/>
  <c r="T189" i="2"/>
  <c r="V188" i="2"/>
  <c r="U188" i="2"/>
  <c r="T188" i="2"/>
  <c r="V187" i="2"/>
  <c r="U187" i="2"/>
  <c r="T187" i="2"/>
  <c r="V186" i="2"/>
  <c r="U186" i="2"/>
  <c r="T186" i="2"/>
  <c r="V185" i="2"/>
  <c r="U185" i="2"/>
  <c r="T185" i="2"/>
  <c r="V184" i="2"/>
  <c r="U184" i="2"/>
  <c r="T184" i="2"/>
  <c r="V183" i="2"/>
  <c r="U183" i="2"/>
  <c r="T183" i="2"/>
  <c r="V182" i="2"/>
  <c r="U182" i="2"/>
  <c r="T182" i="2"/>
  <c r="V181" i="2"/>
  <c r="U181" i="2"/>
  <c r="T181" i="2"/>
  <c r="V180" i="2"/>
  <c r="U180" i="2"/>
  <c r="T180" i="2"/>
  <c r="V179" i="2"/>
  <c r="U179" i="2"/>
  <c r="T179" i="2"/>
  <c r="V178" i="2"/>
  <c r="U178" i="2"/>
  <c r="T178" i="2"/>
  <c r="V177" i="2"/>
  <c r="U177" i="2"/>
  <c r="T177" i="2"/>
  <c r="V176" i="2"/>
  <c r="U176" i="2"/>
  <c r="T176" i="2"/>
  <c r="V175" i="2"/>
  <c r="U175" i="2"/>
  <c r="T175" i="2"/>
  <c r="V174" i="2"/>
  <c r="U174" i="2"/>
  <c r="T174" i="2"/>
  <c r="V173" i="2"/>
  <c r="U173" i="2"/>
  <c r="T173" i="2"/>
  <c r="V172" i="2"/>
  <c r="U172" i="2"/>
  <c r="T172" i="2"/>
  <c r="V171" i="2"/>
  <c r="U171" i="2"/>
  <c r="T171" i="2"/>
  <c r="V170" i="2"/>
  <c r="U170" i="2"/>
  <c r="T170" i="2"/>
  <c r="V169" i="2"/>
  <c r="U169" i="2"/>
  <c r="V158" i="2"/>
  <c r="U158" i="2"/>
  <c r="T158" i="2"/>
  <c r="V157" i="2"/>
  <c r="U157" i="2"/>
  <c r="T157" i="2"/>
  <c r="V156" i="2"/>
  <c r="U156" i="2"/>
  <c r="T156" i="2"/>
  <c r="V155" i="2"/>
  <c r="U155" i="2"/>
  <c r="T155" i="2"/>
  <c r="V154" i="2"/>
  <c r="U154" i="2"/>
  <c r="T154" i="2"/>
  <c r="V153" i="2"/>
  <c r="U153" i="2"/>
  <c r="T153" i="2"/>
  <c r="V152" i="2"/>
  <c r="U152" i="2"/>
  <c r="T152" i="2"/>
  <c r="V164" i="2"/>
  <c r="U164" i="2"/>
  <c r="T164" i="2"/>
  <c r="V163" i="2"/>
  <c r="U163" i="2"/>
  <c r="T163" i="2"/>
  <c r="V162" i="2"/>
  <c r="U162" i="2"/>
  <c r="T162" i="2"/>
  <c r="V161" i="2"/>
  <c r="U161" i="2"/>
  <c r="T161" i="2"/>
  <c r="I162" i="2"/>
  <c r="I163" i="2"/>
  <c r="I152" i="2"/>
  <c r="I153" i="2"/>
  <c r="I154" i="2"/>
  <c r="I155" i="2"/>
  <c r="I156" i="2"/>
  <c r="I157" i="2"/>
  <c r="I158"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AF62" i="4" l="1"/>
  <c r="R62" i="4"/>
  <c r="AA62" i="4"/>
  <c r="AD62" i="4"/>
  <c r="AJ62" i="4"/>
  <c r="W62" i="4"/>
  <c r="AI62" i="4"/>
  <c r="X62" i="4"/>
  <c r="S62" i="4"/>
  <c r="AE62" i="4"/>
  <c r="U62" i="4"/>
  <c r="V62" i="4"/>
  <c r="T62" i="4"/>
  <c r="AG62" i="4"/>
  <c r="Y62" i="4"/>
  <c r="Z62" i="4"/>
  <c r="AC62" i="4"/>
  <c r="AH62" i="4"/>
  <c r="AB62" i="4"/>
  <c r="AK62" i="4"/>
  <c r="Q62" i="4"/>
  <c r="R64" i="4"/>
  <c r="AD65" i="4"/>
  <c r="V67" i="4"/>
  <c r="AD60" i="4"/>
  <c r="AD63" i="4" s="1"/>
  <c r="W64" i="4"/>
  <c r="AI65" i="4"/>
  <c r="AA67" i="4"/>
  <c r="AI60" i="4"/>
  <c r="AC60" i="4"/>
  <c r="X65" i="4"/>
  <c r="AJ66" i="4"/>
  <c r="X60" i="4"/>
  <c r="U65" i="4"/>
  <c r="AG60" i="4"/>
  <c r="V64" i="4"/>
  <c r="AH65" i="4"/>
  <c r="Z67" i="4"/>
  <c r="AH60" i="4"/>
  <c r="AA64" i="4"/>
  <c r="S66" i="4"/>
  <c r="AE67" i="4"/>
  <c r="AK64" i="4"/>
  <c r="AK60" i="4"/>
  <c r="AB65" i="4"/>
  <c r="T67" i="4"/>
  <c r="AB60" i="4"/>
  <c r="Y65" i="4"/>
  <c r="S67" i="4"/>
  <c r="AB66" i="4"/>
  <c r="Z64" i="4"/>
  <c r="R66" i="4"/>
  <c r="AD67" i="4"/>
  <c r="Q60" i="4"/>
  <c r="AE64" i="4"/>
  <c r="W66" i="4"/>
  <c r="AI67" i="4"/>
  <c r="AC65" i="4"/>
  <c r="T64" i="4"/>
  <c r="AF65" i="4"/>
  <c r="X67" i="4"/>
  <c r="AF60" i="4"/>
  <c r="AK65" i="4"/>
  <c r="AD64" i="4"/>
  <c r="V66" i="4"/>
  <c r="AH67" i="4"/>
  <c r="AG65" i="4"/>
  <c r="AI64" i="4"/>
  <c r="AA66" i="4"/>
  <c r="Q66" i="4"/>
  <c r="U66" i="4"/>
  <c r="X64" i="4"/>
  <c r="AJ65" i="4"/>
  <c r="AB67" i="4"/>
  <c r="AJ60" i="4"/>
  <c r="AJ63" i="4" s="1"/>
  <c r="Y66" i="4"/>
  <c r="AH66" i="4"/>
  <c r="AK67" i="4"/>
  <c r="AA60" i="4"/>
  <c r="AA63" i="4" s="1"/>
  <c r="AC64" i="4"/>
  <c r="AH64" i="4"/>
  <c r="Z66" i="4"/>
  <c r="Q67" i="4"/>
  <c r="AG66" i="4"/>
  <c r="S65" i="4"/>
  <c r="AE66" i="4"/>
  <c r="S60" i="4"/>
  <c r="S63" i="4" s="1"/>
  <c r="AC66" i="4"/>
  <c r="AB64" i="4"/>
  <c r="T66" i="4"/>
  <c r="AF67" i="4"/>
  <c r="U64" i="4"/>
  <c r="AK66" i="4"/>
  <c r="AA65" i="4"/>
  <c r="AJ64" i="4"/>
  <c r="R65" i="4"/>
  <c r="AD66" i="4"/>
  <c r="R60" i="4"/>
  <c r="Y67" i="4"/>
  <c r="W65" i="4"/>
  <c r="AI66" i="4"/>
  <c r="W60" i="4"/>
  <c r="W63" i="4" s="1"/>
  <c r="U67" i="4"/>
  <c r="AF64" i="4"/>
  <c r="X66" i="4"/>
  <c r="AJ67" i="4"/>
  <c r="Y64" i="4"/>
  <c r="AG67" i="4"/>
  <c r="V65" i="4"/>
  <c r="V60" i="4"/>
  <c r="AC67" i="4"/>
  <c r="Q65" i="4"/>
  <c r="Z65" i="4"/>
  <c r="R67" i="4"/>
  <c r="Z60" i="4"/>
  <c r="S64" i="4"/>
  <c r="AE65" i="4"/>
  <c r="W67" i="4"/>
  <c r="AE60" i="4"/>
  <c r="Q64" i="4"/>
  <c r="T65" i="4"/>
  <c r="AF66" i="4"/>
  <c r="T60" i="4"/>
  <c r="T63" i="4" s="1"/>
  <c r="AG64" i="4"/>
  <c r="Y60" i="4"/>
  <c r="U60" i="4"/>
  <c r="M53" i="8"/>
  <c r="M51" i="8"/>
  <c r="M50" i="8"/>
  <c r="L49" i="8"/>
  <c r="L56" i="8"/>
  <c r="L55" i="8"/>
  <c r="L53" i="8"/>
  <c r="L51" i="8"/>
  <c r="L52" i="8"/>
  <c r="L50" i="8"/>
  <c r="L41" i="8"/>
  <c r="L40" i="8"/>
  <c r="L38" i="8"/>
  <c r="L37" i="8"/>
  <c r="L39" i="8"/>
  <c r="L36" i="8"/>
  <c r="R63" i="4" l="1"/>
  <c r="AE63" i="4"/>
  <c r="U63" i="4"/>
  <c r="AF63" i="4"/>
  <c r="Z63" i="4"/>
  <c r="X63" i="4"/>
  <c r="V63" i="4"/>
  <c r="Q63" i="4"/>
  <c r="AC63" i="4"/>
  <c r="AB63" i="4"/>
  <c r="AH63" i="4"/>
  <c r="AK63" i="4"/>
  <c r="Y63" i="4"/>
  <c r="AI63" i="4"/>
  <c r="AG63" i="4"/>
  <c r="I161" i="2"/>
  <c r="V159" i="2"/>
  <c r="U159" i="2"/>
  <c r="T159" i="2"/>
  <c r="V151" i="2"/>
  <c r="U151" i="2"/>
  <c r="T151" i="2"/>
  <c r="I151" i="2"/>
  <c r="V149" i="2"/>
  <c r="U149" i="2"/>
  <c r="T149" i="2"/>
  <c r="I149" i="2"/>
  <c r="V148" i="2"/>
  <c r="U148" i="2"/>
  <c r="T148" i="2"/>
  <c r="I148" i="2"/>
  <c r="I147" i="2"/>
  <c r="AA39" i="3" s="1"/>
  <c r="I146" i="2"/>
  <c r="I145" i="2"/>
  <c r="V144" i="2"/>
  <c r="U144" i="2"/>
  <c r="T144" i="2"/>
  <c r="I144" i="2"/>
  <c r="V143" i="2"/>
  <c r="U143" i="2"/>
  <c r="T143" i="2"/>
  <c r="I143" i="2"/>
  <c r="I142" i="2"/>
  <c r="I141" i="2"/>
  <c r="I140" i="2"/>
  <c r="O139" i="2"/>
  <c r="I139" i="2"/>
  <c r="I138" i="2"/>
  <c r="I137" i="2"/>
  <c r="I136" i="2"/>
  <c r="I135" i="2"/>
  <c r="I134" i="2"/>
  <c r="T133" i="2"/>
  <c r="M133" i="2"/>
  <c r="I133" i="2"/>
  <c r="I132" i="2"/>
  <c r="AI131" i="2"/>
  <c r="I131" i="2"/>
  <c r="U130" i="2"/>
  <c r="O130" i="2"/>
  <c r="V130" i="2" s="1"/>
  <c r="M130" i="2"/>
  <c r="T130" i="2" s="1"/>
  <c r="I130" i="2"/>
  <c r="V129" i="2"/>
  <c r="U129" i="2"/>
  <c r="T129" i="2"/>
  <c r="I129" i="2"/>
  <c r="V128" i="2"/>
  <c r="U128" i="2"/>
  <c r="T128" i="2"/>
  <c r="I128" i="2"/>
  <c r="U127" i="2"/>
  <c r="S127" i="2"/>
  <c r="Q127" i="2"/>
  <c r="T127" i="2" s="1"/>
  <c r="O127" i="2"/>
  <c r="I127" i="2"/>
  <c r="U126" i="2"/>
  <c r="S126" i="2"/>
  <c r="Q126" i="2"/>
  <c r="T126" i="2" s="1"/>
  <c r="O126" i="2"/>
  <c r="I126" i="2"/>
  <c r="V125" i="2"/>
  <c r="U125" i="2"/>
  <c r="T125" i="2"/>
  <c r="I125" i="2"/>
  <c r="V124" i="2"/>
  <c r="U124" i="2"/>
  <c r="T124" i="2"/>
  <c r="I124" i="2"/>
  <c r="V123" i="2"/>
  <c r="U123" i="2"/>
  <c r="M123" i="2"/>
  <c r="T123" i="2" s="1"/>
  <c r="I123" i="2"/>
  <c r="V122" i="2"/>
  <c r="U122" i="2"/>
  <c r="I122" i="2"/>
  <c r="V121" i="2"/>
  <c r="U121" i="2"/>
  <c r="T121" i="2"/>
  <c r="I121" i="2"/>
  <c r="U120" i="2"/>
  <c r="K120" i="2"/>
  <c r="M120" i="2" s="1"/>
  <c r="T120" i="2" s="1"/>
  <c r="I120" i="2"/>
  <c r="V119" i="2"/>
  <c r="U119" i="2"/>
  <c r="T119" i="2"/>
  <c r="I119" i="2"/>
  <c r="V118" i="2"/>
  <c r="U118" i="2"/>
  <c r="K118" i="2"/>
  <c r="M118" i="2" s="1"/>
  <c r="I118" i="2"/>
  <c r="V117" i="2"/>
  <c r="U117" i="2"/>
  <c r="T117" i="2"/>
  <c r="I117" i="2"/>
  <c r="I116" i="2"/>
  <c r="I115" i="2"/>
  <c r="AK1407" i="4"/>
  <c r="AJ1407" i="4"/>
  <c r="AI1407" i="4"/>
  <c r="AH1407" i="4"/>
  <c r="AG1407" i="4"/>
  <c r="AF1407" i="4"/>
  <c r="AE1407" i="4"/>
  <c r="AD1407" i="4"/>
  <c r="AC1407" i="4"/>
  <c r="AB1407" i="4"/>
  <c r="AA1407" i="4"/>
  <c r="Y1407" i="4"/>
  <c r="X1407" i="4"/>
  <c r="W1407" i="4"/>
  <c r="V1407" i="4"/>
  <c r="U1407" i="4"/>
  <c r="T1407" i="4"/>
  <c r="S1407" i="4"/>
  <c r="R1407" i="4"/>
  <c r="Q1407" i="4"/>
  <c r="P1407" i="4"/>
  <c r="O1407" i="4"/>
  <c r="N1407" i="4"/>
  <c r="M1407" i="4"/>
  <c r="L1407" i="4"/>
  <c r="K1407" i="4"/>
  <c r="J1407" i="4"/>
  <c r="I1407" i="4"/>
  <c r="AK1369" i="4"/>
  <c r="AJ1369" i="4"/>
  <c r="AI1369" i="4"/>
  <c r="AH1369" i="4"/>
  <c r="AG1369" i="4"/>
  <c r="AF1369" i="4"/>
  <c r="AE1369" i="4"/>
  <c r="AD1369" i="4"/>
  <c r="AC1369" i="4"/>
  <c r="AB1369" i="4"/>
  <c r="AA1369" i="4"/>
  <c r="Z1369" i="4"/>
  <c r="Y1369" i="4"/>
  <c r="X1369" i="4"/>
  <c r="W1369" i="4"/>
  <c r="V1369" i="4"/>
  <c r="U1369" i="4"/>
  <c r="T1369" i="4"/>
  <c r="S1369" i="4"/>
  <c r="R1369" i="4"/>
  <c r="Q1369" i="4"/>
  <c r="AK1368" i="4"/>
  <c r="AJ1368" i="4"/>
  <c r="AI1368" i="4"/>
  <c r="AH1368" i="4"/>
  <c r="AG1368" i="4"/>
  <c r="AF1368" i="4"/>
  <c r="AE1368" i="4"/>
  <c r="AD1368" i="4"/>
  <c r="AC1368" i="4"/>
  <c r="AB1368" i="4"/>
  <c r="AA1368" i="4"/>
  <c r="Z1368" i="4"/>
  <c r="Y1368" i="4"/>
  <c r="X1368" i="4"/>
  <c r="W1368" i="4"/>
  <c r="V1368" i="4"/>
  <c r="U1368" i="4"/>
  <c r="T1368" i="4"/>
  <c r="S1368" i="4"/>
  <c r="R1368" i="4"/>
  <c r="Q1368" i="4"/>
  <c r="AK1367" i="4"/>
  <c r="AJ1367" i="4"/>
  <c r="AI1367" i="4"/>
  <c r="AH1367" i="4"/>
  <c r="AG1367" i="4"/>
  <c r="AF1367" i="4"/>
  <c r="AE1367" i="4"/>
  <c r="AD1367" i="4"/>
  <c r="AC1367" i="4"/>
  <c r="AB1367" i="4"/>
  <c r="AA1367" i="4"/>
  <c r="Z1367" i="4"/>
  <c r="Y1367" i="4"/>
  <c r="X1367" i="4"/>
  <c r="W1367" i="4"/>
  <c r="V1367" i="4"/>
  <c r="U1367" i="4"/>
  <c r="T1367" i="4"/>
  <c r="S1367" i="4"/>
  <c r="R1367" i="4"/>
  <c r="Q1367" i="4"/>
  <c r="AK1365" i="4"/>
  <c r="AJ1365" i="4"/>
  <c r="AI1365" i="4"/>
  <c r="AH1365" i="4"/>
  <c r="AG1365" i="4"/>
  <c r="AF1365" i="4"/>
  <c r="AE1365" i="4"/>
  <c r="AD1365" i="4"/>
  <c r="AC1365" i="4"/>
  <c r="AB1365" i="4"/>
  <c r="AA1365" i="4"/>
  <c r="Z1365" i="4"/>
  <c r="Y1365" i="4"/>
  <c r="X1365" i="4"/>
  <c r="W1365" i="4"/>
  <c r="V1365" i="4"/>
  <c r="U1365" i="4"/>
  <c r="T1365" i="4"/>
  <c r="S1365" i="4"/>
  <c r="R1365" i="4"/>
  <c r="Q1365" i="4"/>
  <c r="AK1364" i="4"/>
  <c r="AJ1364" i="4"/>
  <c r="AI1364" i="4"/>
  <c r="AH1364" i="4"/>
  <c r="AG1364" i="4"/>
  <c r="AF1364" i="4"/>
  <c r="AE1364" i="4"/>
  <c r="AD1364" i="4"/>
  <c r="AC1364" i="4"/>
  <c r="AB1364" i="4"/>
  <c r="AA1364" i="4"/>
  <c r="Z1364" i="4"/>
  <c r="Y1364" i="4"/>
  <c r="X1364" i="4"/>
  <c r="W1364" i="4"/>
  <c r="V1364" i="4"/>
  <c r="U1364" i="4"/>
  <c r="T1364" i="4"/>
  <c r="S1364" i="4"/>
  <c r="R1364" i="4"/>
  <c r="Q1364" i="4"/>
  <c r="AK1363" i="4"/>
  <c r="AJ1363" i="4"/>
  <c r="AI1363" i="4"/>
  <c r="AH1363" i="4"/>
  <c r="AG1363" i="4"/>
  <c r="AF1363" i="4"/>
  <c r="AE1363" i="4"/>
  <c r="AD1363" i="4"/>
  <c r="AC1363" i="4"/>
  <c r="AB1363" i="4"/>
  <c r="AA1363" i="4"/>
  <c r="Z1363" i="4"/>
  <c r="Y1363" i="4"/>
  <c r="X1363" i="4"/>
  <c r="W1363" i="4"/>
  <c r="V1363" i="4"/>
  <c r="U1363" i="4"/>
  <c r="T1363" i="4"/>
  <c r="S1363" i="4"/>
  <c r="R1363" i="4"/>
  <c r="Q1363" i="4"/>
  <c r="W1355" i="4"/>
  <c r="V1355" i="4"/>
  <c r="U1355" i="4"/>
  <c r="T1355" i="4"/>
  <c r="S1355" i="4"/>
  <c r="R1355" i="4"/>
  <c r="Q1355" i="4"/>
  <c r="AK1353" i="4"/>
  <c r="AJ1353" i="4"/>
  <c r="AI1353" i="4"/>
  <c r="AH1353" i="4"/>
  <c r="AG1353" i="4"/>
  <c r="AF1353" i="4"/>
  <c r="AE1353" i="4"/>
  <c r="AD1353" i="4"/>
  <c r="AC1353" i="4"/>
  <c r="AB1353" i="4"/>
  <c r="AA1353" i="4"/>
  <c r="Z1353" i="4"/>
  <c r="Y1353" i="4"/>
  <c r="X1353" i="4"/>
  <c r="W1353" i="4"/>
  <c r="V1353" i="4"/>
  <c r="U1353" i="4"/>
  <c r="T1353" i="4"/>
  <c r="S1353" i="4"/>
  <c r="R1353" i="4"/>
  <c r="Q1353" i="4"/>
  <c r="AK1352" i="4"/>
  <c r="AJ1352" i="4"/>
  <c r="AI1352" i="4"/>
  <c r="AH1352" i="4"/>
  <c r="AG1352" i="4"/>
  <c r="AF1352" i="4"/>
  <c r="AE1352" i="4"/>
  <c r="AD1352" i="4"/>
  <c r="AC1352" i="4"/>
  <c r="AB1352" i="4"/>
  <c r="AA1352" i="4"/>
  <c r="Z1352" i="4"/>
  <c r="Y1352" i="4"/>
  <c r="X1352" i="4"/>
  <c r="W1352" i="4"/>
  <c r="V1352" i="4"/>
  <c r="U1352" i="4"/>
  <c r="T1352" i="4"/>
  <c r="S1352" i="4"/>
  <c r="R1352" i="4"/>
  <c r="Q1352" i="4"/>
  <c r="AK1351" i="4"/>
  <c r="AJ1351" i="4"/>
  <c r="AI1351" i="4"/>
  <c r="AH1351" i="4"/>
  <c r="AG1351" i="4"/>
  <c r="AF1351" i="4"/>
  <c r="AE1351" i="4"/>
  <c r="AD1351" i="4"/>
  <c r="AC1351" i="4"/>
  <c r="AB1351" i="4"/>
  <c r="AA1351" i="4"/>
  <c r="Z1351" i="4"/>
  <c r="Y1351" i="4"/>
  <c r="X1351" i="4"/>
  <c r="W1351" i="4"/>
  <c r="V1351" i="4"/>
  <c r="U1351" i="4"/>
  <c r="T1351" i="4"/>
  <c r="S1351" i="4"/>
  <c r="R1351" i="4"/>
  <c r="Q1351" i="4"/>
  <c r="U1348" i="4"/>
  <c r="V1348" i="4" s="1"/>
  <c r="W1348" i="4" s="1"/>
  <c r="X1348" i="4" s="1"/>
  <c r="Y1348" i="4" s="1"/>
  <c r="Z1348" i="4" s="1"/>
  <c r="AA1348" i="4" s="1"/>
  <c r="AB1348" i="4" s="1"/>
  <c r="AC1348" i="4" s="1"/>
  <c r="AD1348" i="4" s="1"/>
  <c r="AE1348" i="4" s="1"/>
  <c r="AF1348" i="4" s="1"/>
  <c r="AG1348" i="4" s="1"/>
  <c r="AH1348" i="4" s="1"/>
  <c r="AI1348" i="4" s="1"/>
  <c r="AJ1348" i="4" s="1"/>
  <c r="AK1348" i="4" s="1"/>
  <c r="S1348" i="4"/>
  <c r="R1348" i="4" s="1"/>
  <c r="Q1348" i="4" s="1"/>
  <c r="U1346" i="4"/>
  <c r="V1346" i="4" s="1"/>
  <c r="W1346" i="4" s="1"/>
  <c r="X1346" i="4" s="1"/>
  <c r="Y1346" i="4" s="1"/>
  <c r="Z1346" i="4" s="1"/>
  <c r="AA1346" i="4" s="1"/>
  <c r="AB1346" i="4" s="1"/>
  <c r="AC1346" i="4" s="1"/>
  <c r="AD1346" i="4" s="1"/>
  <c r="AE1346" i="4" s="1"/>
  <c r="AF1346" i="4" s="1"/>
  <c r="AG1346" i="4" s="1"/>
  <c r="AH1346" i="4" s="1"/>
  <c r="AI1346" i="4" s="1"/>
  <c r="AJ1346" i="4" s="1"/>
  <c r="AK1346" i="4" s="1"/>
  <c r="S1346" i="4"/>
  <c r="R1346" i="4" s="1"/>
  <c r="Q1346" i="4" s="1"/>
  <c r="AK1340" i="4"/>
  <c r="AJ1340" i="4"/>
  <c r="AI1340" i="4"/>
  <c r="AH1340" i="4"/>
  <c r="AG1340" i="4"/>
  <c r="AF1340" i="4"/>
  <c r="AE1340" i="4"/>
  <c r="AD1340" i="4"/>
  <c r="AC1340" i="4"/>
  <c r="AB1340" i="4"/>
  <c r="AA1340" i="4"/>
  <c r="Z1340" i="4"/>
  <c r="Y1340" i="4"/>
  <c r="X1340" i="4"/>
  <c r="W1340" i="4"/>
  <c r="V1340" i="4"/>
  <c r="U1340" i="4"/>
  <c r="T1340" i="4"/>
  <c r="S1340" i="4"/>
  <c r="R1340" i="4"/>
  <c r="Q1340" i="4"/>
  <c r="AK1339" i="4"/>
  <c r="AJ1339" i="4"/>
  <c r="AI1339" i="4"/>
  <c r="AH1339" i="4"/>
  <c r="AG1339" i="4"/>
  <c r="AF1339" i="4"/>
  <c r="AE1339" i="4"/>
  <c r="AD1339" i="4"/>
  <c r="AC1339" i="4"/>
  <c r="AB1339" i="4"/>
  <c r="AA1339" i="4"/>
  <c r="Z1339" i="4"/>
  <c r="Y1339" i="4"/>
  <c r="X1339" i="4"/>
  <c r="W1339" i="4"/>
  <c r="V1339" i="4"/>
  <c r="U1339" i="4"/>
  <c r="T1339" i="4"/>
  <c r="S1339" i="4"/>
  <c r="R1339" i="4"/>
  <c r="Q1339" i="4"/>
  <c r="AK1338" i="4"/>
  <c r="AJ1338" i="4"/>
  <c r="AI1338" i="4"/>
  <c r="AH1338" i="4"/>
  <c r="AG1338" i="4"/>
  <c r="AF1338" i="4"/>
  <c r="AE1338" i="4"/>
  <c r="AD1338" i="4"/>
  <c r="AC1338" i="4"/>
  <c r="AB1338" i="4"/>
  <c r="AA1338" i="4"/>
  <c r="Z1338" i="4"/>
  <c r="Y1338" i="4"/>
  <c r="X1338" i="4"/>
  <c r="W1338" i="4"/>
  <c r="V1338" i="4"/>
  <c r="U1338" i="4"/>
  <c r="T1338" i="4"/>
  <c r="S1338" i="4"/>
  <c r="R1338" i="4"/>
  <c r="Q1338" i="4"/>
  <c r="AK1334" i="4"/>
  <c r="AJ1334" i="4"/>
  <c r="AI1334" i="4"/>
  <c r="AH1334" i="4"/>
  <c r="AG1334" i="4"/>
  <c r="AF1334" i="4"/>
  <c r="AE1334" i="4"/>
  <c r="AD1334" i="4"/>
  <c r="AC1334" i="4"/>
  <c r="AB1334" i="4"/>
  <c r="AA1334" i="4"/>
  <c r="Z1334" i="4"/>
  <c r="Y1334" i="4"/>
  <c r="X1334" i="4"/>
  <c r="W1334" i="4"/>
  <c r="V1334" i="4"/>
  <c r="U1334" i="4"/>
  <c r="T1334" i="4"/>
  <c r="S1334" i="4"/>
  <c r="R1334" i="4"/>
  <c r="Q1334" i="4"/>
  <c r="AK1333" i="4"/>
  <c r="AJ1333" i="4"/>
  <c r="AI1333" i="4"/>
  <c r="AH1333" i="4"/>
  <c r="AG1333" i="4"/>
  <c r="AF1333" i="4"/>
  <c r="AE1333" i="4"/>
  <c r="AD1333" i="4"/>
  <c r="AC1333" i="4"/>
  <c r="AB1333" i="4"/>
  <c r="AA1333" i="4"/>
  <c r="Y1333" i="4"/>
  <c r="X1333" i="4"/>
  <c r="W1333" i="4"/>
  <c r="V1333" i="4"/>
  <c r="U1333" i="4"/>
  <c r="T1333" i="4"/>
  <c r="S1333" i="4"/>
  <c r="R1333" i="4"/>
  <c r="Q1333" i="4"/>
  <c r="AK1330" i="4"/>
  <c r="AJ1330" i="4"/>
  <c r="AI1330" i="4"/>
  <c r="AH1330" i="4"/>
  <c r="AG1330" i="4"/>
  <c r="AF1330" i="4"/>
  <c r="AE1330" i="4"/>
  <c r="AD1330" i="4"/>
  <c r="AC1330" i="4"/>
  <c r="AB1330" i="4"/>
  <c r="AA1330" i="4"/>
  <c r="Y1330" i="4"/>
  <c r="X1330" i="4"/>
  <c r="W1330" i="4"/>
  <c r="V1330" i="4"/>
  <c r="U1330" i="4"/>
  <c r="T1330" i="4"/>
  <c r="S1330" i="4"/>
  <c r="R1330" i="4"/>
  <c r="Q1330" i="4"/>
  <c r="AK1327" i="4"/>
  <c r="AK1314" i="4" s="1"/>
  <c r="AJ1327" i="4"/>
  <c r="AI1327" i="4"/>
  <c r="AI1320" i="4" s="1"/>
  <c r="AH1327" i="4"/>
  <c r="AH1308" i="4" s="1"/>
  <c r="AG1327" i="4"/>
  <c r="AG1320" i="4" s="1"/>
  <c r="AF1327" i="4"/>
  <c r="AF1320" i="4" s="1"/>
  <c r="AE1327" i="4"/>
  <c r="AD1327" i="4"/>
  <c r="AD1314" i="4" s="1"/>
  <c r="AC1327" i="4"/>
  <c r="AC1314" i="4" s="1"/>
  <c r="AB1327" i="4"/>
  <c r="AB1314" i="4" s="1"/>
  <c r="AA1327" i="4"/>
  <c r="AA1308" i="4" s="1"/>
  <c r="Y1327" i="4"/>
  <c r="Y1314" i="4" s="1"/>
  <c r="X1327" i="4"/>
  <c r="X1314" i="4" s="1"/>
  <c r="W1327" i="4"/>
  <c r="W1320" i="4" s="1"/>
  <c r="V1327" i="4"/>
  <c r="V1320" i="4" s="1"/>
  <c r="U1327" i="4"/>
  <c r="U1314" i="4" s="1"/>
  <c r="T1327" i="4"/>
  <c r="T1320" i="4" s="1"/>
  <c r="S1327" i="4"/>
  <c r="S1308" i="4" s="1"/>
  <c r="R1327" i="4"/>
  <c r="R1320" i="4" s="1"/>
  <c r="Q1327" i="4"/>
  <c r="Q1308" i="4" s="1"/>
  <c r="AK1115" i="4"/>
  <c r="AJ1115" i="4"/>
  <c r="AI1115" i="4"/>
  <c r="AH1115" i="4"/>
  <c r="AG1115" i="4"/>
  <c r="AF1115" i="4"/>
  <c r="AE1115" i="4"/>
  <c r="AD1115" i="4"/>
  <c r="AC1115" i="4"/>
  <c r="AB1115" i="4"/>
  <c r="AA1115" i="4"/>
  <c r="Z1115" i="4"/>
  <c r="Y1115" i="4"/>
  <c r="X1115" i="4"/>
  <c r="W1115" i="4"/>
  <c r="V1115" i="4"/>
  <c r="U1115" i="4"/>
  <c r="T1115" i="4"/>
  <c r="S1115" i="4"/>
  <c r="R1115" i="4"/>
  <c r="Q1115" i="4"/>
  <c r="P1115" i="4"/>
  <c r="O1115" i="4"/>
  <c r="N1115" i="4"/>
  <c r="AK1114" i="4"/>
  <c r="AJ1114" i="4"/>
  <c r="AI1114" i="4"/>
  <c r="AH1114" i="4"/>
  <c r="AG1114" i="4"/>
  <c r="AF1114" i="4"/>
  <c r="AE1114" i="4"/>
  <c r="AD1114" i="4"/>
  <c r="AC1114" i="4"/>
  <c r="AB1114" i="4"/>
  <c r="AA1114" i="4"/>
  <c r="Z1114" i="4"/>
  <c r="Y1114" i="4"/>
  <c r="X1114" i="4"/>
  <c r="W1114" i="4"/>
  <c r="V1114" i="4"/>
  <c r="U1114" i="4"/>
  <c r="T1114" i="4"/>
  <c r="S1114" i="4"/>
  <c r="R1114" i="4"/>
  <c r="Q1114" i="4"/>
  <c r="P1114" i="4"/>
  <c r="O1114" i="4"/>
  <c r="N1114" i="4"/>
  <c r="AK1113" i="4"/>
  <c r="AJ1113" i="4"/>
  <c r="AI1113" i="4"/>
  <c r="AH1113" i="4"/>
  <c r="AG1113" i="4"/>
  <c r="AF1113" i="4"/>
  <c r="AE1113" i="4"/>
  <c r="AD1113" i="4"/>
  <c r="AC1113" i="4"/>
  <c r="AB1113" i="4"/>
  <c r="AA1113" i="4"/>
  <c r="Z1113" i="4"/>
  <c r="Y1113" i="4"/>
  <c r="X1113" i="4"/>
  <c r="W1113" i="4"/>
  <c r="V1113" i="4"/>
  <c r="U1113" i="4"/>
  <c r="T1113" i="4"/>
  <c r="S1113" i="4"/>
  <c r="R1113" i="4"/>
  <c r="Q1113" i="4"/>
  <c r="P1113" i="4"/>
  <c r="O1113" i="4"/>
  <c r="N1113" i="4"/>
  <c r="AK1112" i="4"/>
  <c r="AK1045" i="4"/>
  <c r="AJ1045" i="4"/>
  <c r="AI1045" i="4"/>
  <c r="AH1045" i="4"/>
  <c r="AG1045" i="4"/>
  <c r="AF1045" i="4"/>
  <c r="AE1045" i="4"/>
  <c r="AD1045" i="4"/>
  <c r="AC1045" i="4"/>
  <c r="AB1045" i="4"/>
  <c r="AA1045" i="4"/>
  <c r="Z1045" i="4"/>
  <c r="Y1045" i="4"/>
  <c r="X1045" i="4"/>
  <c r="W1045" i="4"/>
  <c r="V1045" i="4"/>
  <c r="U1045" i="4"/>
  <c r="T1045" i="4"/>
  <c r="S1045" i="4"/>
  <c r="R1045" i="4"/>
  <c r="Q1045" i="4"/>
  <c r="P1045" i="4"/>
  <c r="O1045" i="4"/>
  <c r="N1045" i="4"/>
  <c r="M1045" i="4"/>
  <c r="L1045" i="4"/>
  <c r="K1045" i="4"/>
  <c r="J1045" i="4"/>
  <c r="I1045" i="4"/>
  <c r="AK1034" i="4"/>
  <c r="AJ1034" i="4"/>
  <c r="AI1034" i="4"/>
  <c r="AH1034" i="4"/>
  <c r="AG1034" i="4"/>
  <c r="AF1034" i="4"/>
  <c r="AE1034" i="4"/>
  <c r="AD1034" i="4"/>
  <c r="AC1034" i="4"/>
  <c r="AB1034" i="4"/>
  <c r="AA1034" i="4"/>
  <c r="Z1034" i="4"/>
  <c r="Y1034" i="4"/>
  <c r="X1034" i="4"/>
  <c r="W1034" i="4"/>
  <c r="V1034" i="4"/>
  <c r="U1034" i="4"/>
  <c r="T1034" i="4"/>
  <c r="S1034" i="4"/>
  <c r="O1034" i="4"/>
  <c r="N1034" i="4"/>
  <c r="M1034" i="4"/>
  <c r="L1034" i="4"/>
  <c r="K1034" i="4"/>
  <c r="J1034" i="4"/>
  <c r="I1034" i="4"/>
  <c r="AK1033" i="4"/>
  <c r="AJ1033" i="4"/>
  <c r="AI1033" i="4"/>
  <c r="AH1033" i="4"/>
  <c r="AG1033" i="4"/>
  <c r="AF1033" i="4"/>
  <c r="AE1033" i="4"/>
  <c r="AD1033" i="4"/>
  <c r="AC1033" i="4"/>
  <c r="AB1033" i="4"/>
  <c r="AA1033" i="4"/>
  <c r="Z1033" i="4"/>
  <c r="Y1033" i="4"/>
  <c r="X1033" i="4"/>
  <c r="W1033" i="4"/>
  <c r="AK1032" i="4"/>
  <c r="AJ1032" i="4"/>
  <c r="AI1032" i="4"/>
  <c r="AH1032" i="4"/>
  <c r="AG1032" i="4"/>
  <c r="AF1032" i="4"/>
  <c r="AE1032" i="4"/>
  <c r="AD1032" i="4"/>
  <c r="AC1032" i="4"/>
  <c r="AB1032" i="4"/>
  <c r="AA1032" i="4"/>
  <c r="Z1032" i="4"/>
  <c r="Y1032" i="4"/>
  <c r="X1032" i="4"/>
  <c r="W1032" i="4"/>
  <c r="V1032" i="4"/>
  <c r="U1032" i="4"/>
  <c r="T1032" i="4"/>
  <c r="S1032" i="4"/>
  <c r="R1032" i="4"/>
  <c r="Q1032" i="4"/>
  <c r="P1032" i="4"/>
  <c r="AK1030" i="4"/>
  <c r="AJ1030" i="4"/>
  <c r="AI1030" i="4"/>
  <c r="AH1030" i="4"/>
  <c r="AG1030" i="4"/>
  <c r="AF1030" i="4"/>
  <c r="AE1030" i="4"/>
  <c r="AD1030" i="4"/>
  <c r="AC1030" i="4"/>
  <c r="AB1030" i="4"/>
  <c r="AA1030" i="4"/>
  <c r="Z1030" i="4"/>
  <c r="Y1030" i="4"/>
  <c r="X1030" i="4"/>
  <c r="W1030" i="4"/>
  <c r="V1030" i="4"/>
  <c r="U1030" i="4"/>
  <c r="T1030" i="4"/>
  <c r="S1030" i="4"/>
  <c r="R1030" i="4"/>
  <c r="Q1030" i="4"/>
  <c r="P1030" i="4"/>
  <c r="O1030" i="4"/>
  <c r="N1030" i="4"/>
  <c r="M1030" i="4"/>
  <c r="L1030" i="4"/>
  <c r="K1030" i="4"/>
  <c r="J1030" i="4"/>
  <c r="I1030" i="4"/>
  <c r="AK1011" i="4"/>
  <c r="AJ1011" i="4"/>
  <c r="AI1011" i="4"/>
  <c r="AH1011" i="4"/>
  <c r="AG1011" i="4"/>
  <c r="AF1011" i="4"/>
  <c r="AE1011" i="4"/>
  <c r="AD1011" i="4"/>
  <c r="AC1011" i="4"/>
  <c r="AB1011" i="4"/>
  <c r="AA1011" i="4"/>
  <c r="Z1011" i="4"/>
  <c r="Y1011" i="4"/>
  <c r="W1011" i="4"/>
  <c r="V1011" i="4"/>
  <c r="U1011" i="4"/>
  <c r="T1011" i="4"/>
  <c r="S1011" i="4"/>
  <c r="R1011" i="4"/>
  <c r="Q1011" i="4"/>
  <c r="O1011" i="4"/>
  <c r="N1011" i="4"/>
  <c r="M1011" i="4"/>
  <c r="L1011" i="4"/>
  <c r="K1011" i="4"/>
  <c r="J1011" i="4"/>
  <c r="I1011" i="4"/>
  <c r="AK1010" i="4"/>
  <c r="AJ1010" i="4"/>
  <c r="AI1010" i="4"/>
  <c r="AH1010" i="4"/>
  <c r="AG1010" i="4"/>
  <c r="AF1010" i="4"/>
  <c r="AE1010" i="4"/>
  <c r="AD1010" i="4"/>
  <c r="AC1010" i="4"/>
  <c r="AB1010" i="4"/>
  <c r="AA1010" i="4"/>
  <c r="Z1010" i="4"/>
  <c r="Y1010" i="4"/>
  <c r="X1010" i="4"/>
  <c r="W1010" i="4"/>
  <c r="AK1009" i="4"/>
  <c r="AJ1009" i="4"/>
  <c r="AI1009" i="4"/>
  <c r="AH1009" i="4"/>
  <c r="AG1009" i="4"/>
  <c r="AF1009" i="4"/>
  <c r="AE1009" i="4"/>
  <c r="AD1009" i="4"/>
  <c r="AC1009" i="4"/>
  <c r="AB1009" i="4"/>
  <c r="AA1009" i="4"/>
  <c r="Z1009" i="4"/>
  <c r="Y1009" i="4"/>
  <c r="X1009" i="4"/>
  <c r="W1009" i="4"/>
  <c r="V1009" i="4"/>
  <c r="U1009" i="4"/>
  <c r="T1009" i="4"/>
  <c r="S1009" i="4"/>
  <c r="R1009" i="4"/>
  <c r="Q1009" i="4"/>
  <c r="P1009" i="4"/>
  <c r="AK1007" i="4"/>
  <c r="AJ1007" i="4"/>
  <c r="AI1007" i="4"/>
  <c r="AH1007" i="4"/>
  <c r="AG1007" i="4"/>
  <c r="AF1007" i="4"/>
  <c r="AE1007" i="4"/>
  <c r="AD1007" i="4"/>
  <c r="AC1007" i="4"/>
  <c r="AB1007" i="4"/>
  <c r="AA1007" i="4"/>
  <c r="Z1007" i="4"/>
  <c r="Y1007" i="4"/>
  <c r="X1007" i="4"/>
  <c r="W1007" i="4"/>
  <c r="V1007" i="4"/>
  <c r="U1007" i="4"/>
  <c r="T1007" i="4"/>
  <c r="S1007" i="4"/>
  <c r="R1007" i="4"/>
  <c r="Q1007" i="4"/>
  <c r="P1007" i="4"/>
  <c r="O1007" i="4"/>
  <c r="N1007" i="4"/>
  <c r="M1007" i="4"/>
  <c r="L1007" i="4"/>
  <c r="K1007" i="4"/>
  <c r="J1007" i="4"/>
  <c r="I1007" i="4"/>
  <c r="AK988" i="4"/>
  <c r="AJ988" i="4"/>
  <c r="AI988" i="4"/>
  <c r="AH988" i="4"/>
  <c r="AG988" i="4"/>
  <c r="AF988" i="4"/>
  <c r="AE988" i="4"/>
  <c r="AD988" i="4"/>
  <c r="AC988" i="4"/>
  <c r="AB988" i="4"/>
  <c r="AA988" i="4"/>
  <c r="Z988" i="4"/>
  <c r="Y988" i="4"/>
  <c r="X988" i="4"/>
  <c r="W988" i="4"/>
  <c r="V988" i="4"/>
  <c r="U988" i="4"/>
  <c r="T988" i="4"/>
  <c r="S988" i="4"/>
  <c r="R988" i="4"/>
  <c r="Q988" i="4"/>
  <c r="P988" i="4"/>
  <c r="O988" i="4"/>
  <c r="N988" i="4"/>
  <c r="M988" i="4"/>
  <c r="L988" i="4"/>
  <c r="K988" i="4"/>
  <c r="J988" i="4"/>
  <c r="I988" i="4"/>
  <c r="AK987" i="4"/>
  <c r="AJ987" i="4"/>
  <c r="AI987" i="4"/>
  <c r="AH987" i="4"/>
  <c r="AG987" i="4"/>
  <c r="AF987" i="4"/>
  <c r="AE987" i="4"/>
  <c r="AD987" i="4"/>
  <c r="AC987" i="4"/>
  <c r="AB987" i="4"/>
  <c r="AA987" i="4"/>
  <c r="Z987" i="4"/>
  <c r="Y987" i="4"/>
  <c r="X987" i="4"/>
  <c r="W987" i="4"/>
  <c r="AK986" i="4"/>
  <c r="AJ986" i="4"/>
  <c r="AI986" i="4"/>
  <c r="AH986" i="4"/>
  <c r="AG986" i="4"/>
  <c r="AF986" i="4"/>
  <c r="AE986" i="4"/>
  <c r="AD986" i="4"/>
  <c r="AC986" i="4"/>
  <c r="AB986" i="4"/>
  <c r="AA986" i="4"/>
  <c r="Z986" i="4"/>
  <c r="Y986" i="4"/>
  <c r="X986" i="4"/>
  <c r="W986" i="4"/>
  <c r="V986" i="4"/>
  <c r="U986" i="4"/>
  <c r="T986" i="4"/>
  <c r="S986" i="4"/>
  <c r="R986" i="4"/>
  <c r="Q986" i="4"/>
  <c r="P986" i="4"/>
  <c r="AK984" i="4"/>
  <c r="AJ984" i="4"/>
  <c r="AI984" i="4"/>
  <c r="AH984" i="4"/>
  <c r="AG984" i="4"/>
  <c r="AF984" i="4"/>
  <c r="AE984" i="4"/>
  <c r="AD984" i="4"/>
  <c r="AC984" i="4"/>
  <c r="AB984" i="4"/>
  <c r="AA984" i="4"/>
  <c r="Z984" i="4"/>
  <c r="Y984" i="4"/>
  <c r="X984" i="4"/>
  <c r="W984" i="4"/>
  <c r="V984" i="4"/>
  <c r="U984" i="4"/>
  <c r="T984" i="4"/>
  <c r="S984" i="4"/>
  <c r="R984" i="4"/>
  <c r="Q984" i="4"/>
  <c r="P984" i="4"/>
  <c r="O984" i="4"/>
  <c r="N984" i="4"/>
  <c r="M984" i="4"/>
  <c r="L984" i="4"/>
  <c r="K984" i="4"/>
  <c r="J984" i="4"/>
  <c r="I984" i="4"/>
  <c r="AK951" i="4"/>
  <c r="AJ951" i="4"/>
  <c r="AI951" i="4"/>
  <c r="AH951" i="4"/>
  <c r="AG951" i="4"/>
  <c r="AF951" i="4"/>
  <c r="AE951" i="4"/>
  <c r="AD951" i="4"/>
  <c r="AC951" i="4"/>
  <c r="AB951" i="4"/>
  <c r="AA951" i="4"/>
  <c r="Z951" i="4"/>
  <c r="Y951" i="4"/>
  <c r="X951" i="4"/>
  <c r="W951" i="4"/>
  <c r="V951" i="4"/>
  <c r="U951" i="4"/>
  <c r="T951" i="4"/>
  <c r="T950" i="4" s="1"/>
  <c r="S951" i="4"/>
  <c r="R951" i="4"/>
  <c r="Q951" i="4"/>
  <c r="AK866" i="4"/>
  <c r="AJ866" i="4"/>
  <c r="AI866" i="4"/>
  <c r="AH866" i="4"/>
  <c r="AG866" i="4"/>
  <c r="AF866" i="4"/>
  <c r="AE866" i="4"/>
  <c r="AD866" i="4"/>
  <c r="AC866" i="4"/>
  <c r="AB866" i="4"/>
  <c r="AA866" i="4"/>
  <c r="Z866" i="4"/>
  <c r="Y866" i="4"/>
  <c r="X866" i="4"/>
  <c r="W866" i="4"/>
  <c r="V866" i="4"/>
  <c r="U866" i="4"/>
  <c r="T866" i="4"/>
  <c r="S866" i="4"/>
  <c r="R866" i="4"/>
  <c r="Q866" i="4"/>
  <c r="P866" i="4"/>
  <c r="O866" i="4"/>
  <c r="N866" i="4"/>
  <c r="M866" i="4"/>
  <c r="L866" i="4"/>
  <c r="K866" i="4"/>
  <c r="J866" i="4"/>
  <c r="I866" i="4"/>
  <c r="C866" i="4"/>
  <c r="AK865" i="4"/>
  <c r="AJ865" i="4"/>
  <c r="AI865" i="4"/>
  <c r="AH865" i="4"/>
  <c r="AG865" i="4"/>
  <c r="AF865" i="4"/>
  <c r="AE865" i="4"/>
  <c r="AD865" i="4"/>
  <c r="AC865" i="4"/>
  <c r="AB865" i="4"/>
  <c r="AA865" i="4"/>
  <c r="Z865" i="4"/>
  <c r="Y865" i="4"/>
  <c r="X865" i="4"/>
  <c r="W865" i="4"/>
  <c r="V865" i="4"/>
  <c r="U865" i="4"/>
  <c r="T865" i="4"/>
  <c r="S865" i="4"/>
  <c r="R865" i="4"/>
  <c r="Q865" i="4"/>
  <c r="P865" i="4"/>
  <c r="O865" i="4"/>
  <c r="N865" i="4"/>
  <c r="M865" i="4"/>
  <c r="L865" i="4"/>
  <c r="K865" i="4"/>
  <c r="J865" i="4"/>
  <c r="I865" i="4"/>
  <c r="C865" i="4"/>
  <c r="AK864" i="4"/>
  <c r="AJ864" i="4"/>
  <c r="AI864" i="4"/>
  <c r="AH864" i="4"/>
  <c r="AG864" i="4"/>
  <c r="AF864" i="4"/>
  <c r="AE864" i="4"/>
  <c r="AD864" i="4"/>
  <c r="AC864" i="4"/>
  <c r="AB864" i="4"/>
  <c r="AA864" i="4"/>
  <c r="Z864" i="4"/>
  <c r="Y864" i="4"/>
  <c r="X864" i="4"/>
  <c r="W864" i="4"/>
  <c r="V864" i="4"/>
  <c r="U864" i="4"/>
  <c r="T864" i="4"/>
  <c r="S864" i="4"/>
  <c r="R864" i="4"/>
  <c r="Q864" i="4"/>
  <c r="P864" i="4"/>
  <c r="O864" i="4"/>
  <c r="N864" i="4"/>
  <c r="M864" i="4"/>
  <c r="L864" i="4"/>
  <c r="K864" i="4"/>
  <c r="J864" i="4"/>
  <c r="I864" i="4"/>
  <c r="C864" i="4"/>
  <c r="AK863" i="4"/>
  <c r="AJ863" i="4"/>
  <c r="AI863" i="4"/>
  <c r="AH863" i="4"/>
  <c r="AG863" i="4"/>
  <c r="AF863" i="4"/>
  <c r="AE863" i="4"/>
  <c r="AD863" i="4"/>
  <c r="AC863" i="4"/>
  <c r="AB863" i="4"/>
  <c r="AA863" i="4"/>
  <c r="Z863" i="4"/>
  <c r="Y863" i="4"/>
  <c r="X863" i="4"/>
  <c r="W863" i="4"/>
  <c r="V863" i="4"/>
  <c r="U863" i="4"/>
  <c r="T863" i="4"/>
  <c r="S863" i="4"/>
  <c r="R863" i="4"/>
  <c r="Q863" i="4"/>
  <c r="P863" i="4"/>
  <c r="O863" i="4"/>
  <c r="N863" i="4"/>
  <c r="M863" i="4"/>
  <c r="L863" i="4"/>
  <c r="K863" i="4"/>
  <c r="J863" i="4"/>
  <c r="I863" i="4"/>
  <c r="C863" i="4"/>
  <c r="AK862" i="4"/>
  <c r="AJ862" i="4"/>
  <c r="AI862" i="4"/>
  <c r="AH862" i="4"/>
  <c r="AG862" i="4"/>
  <c r="AF862" i="4"/>
  <c r="AE862" i="4"/>
  <c r="AD862" i="4"/>
  <c r="AC862" i="4"/>
  <c r="AB862" i="4"/>
  <c r="AA862" i="4"/>
  <c r="Z862" i="4"/>
  <c r="Y862" i="4"/>
  <c r="X862" i="4"/>
  <c r="W862" i="4"/>
  <c r="V862" i="4"/>
  <c r="U862" i="4"/>
  <c r="T862" i="4"/>
  <c r="S862" i="4"/>
  <c r="R862" i="4"/>
  <c r="Q862" i="4"/>
  <c r="P862" i="4"/>
  <c r="O862" i="4"/>
  <c r="N862" i="4"/>
  <c r="M862" i="4"/>
  <c r="L862" i="4"/>
  <c r="K862" i="4"/>
  <c r="J862" i="4"/>
  <c r="I862" i="4"/>
  <c r="C862" i="4"/>
  <c r="AK861" i="4"/>
  <c r="AJ861" i="4"/>
  <c r="AI861" i="4"/>
  <c r="AH861" i="4"/>
  <c r="AG861" i="4"/>
  <c r="AF861" i="4"/>
  <c r="AE861" i="4"/>
  <c r="AD861" i="4"/>
  <c r="AC861" i="4"/>
  <c r="AB861" i="4"/>
  <c r="AA861" i="4"/>
  <c r="Z861" i="4"/>
  <c r="Y861" i="4"/>
  <c r="X861" i="4"/>
  <c r="W861" i="4"/>
  <c r="V861" i="4"/>
  <c r="U861" i="4"/>
  <c r="T861" i="4"/>
  <c r="S861" i="4"/>
  <c r="R861" i="4"/>
  <c r="Q861" i="4"/>
  <c r="P861" i="4"/>
  <c r="O861" i="4"/>
  <c r="N861" i="4"/>
  <c r="M861" i="4"/>
  <c r="L861" i="4"/>
  <c r="K861" i="4"/>
  <c r="J861" i="4"/>
  <c r="I861" i="4"/>
  <c r="C861" i="4"/>
  <c r="AK860" i="4"/>
  <c r="AJ860" i="4"/>
  <c r="AI860" i="4"/>
  <c r="AH860" i="4"/>
  <c r="AG860" i="4"/>
  <c r="AF860" i="4"/>
  <c r="AE860" i="4"/>
  <c r="AD860" i="4"/>
  <c r="AC860" i="4"/>
  <c r="AB860" i="4"/>
  <c r="AA860" i="4"/>
  <c r="Z860" i="4"/>
  <c r="Y860" i="4"/>
  <c r="X860" i="4"/>
  <c r="W860" i="4"/>
  <c r="V860" i="4"/>
  <c r="U860" i="4"/>
  <c r="T860" i="4"/>
  <c r="S860" i="4"/>
  <c r="R860" i="4"/>
  <c r="Q860" i="4"/>
  <c r="P860" i="4"/>
  <c r="O860" i="4"/>
  <c r="N860" i="4"/>
  <c r="M860" i="4"/>
  <c r="L860" i="4"/>
  <c r="K860" i="4"/>
  <c r="J860" i="4"/>
  <c r="I860" i="4"/>
  <c r="C860" i="4"/>
  <c r="AK859" i="4"/>
  <c r="AJ859" i="4"/>
  <c r="AI859" i="4"/>
  <c r="AH859" i="4"/>
  <c r="AG859" i="4"/>
  <c r="AF859" i="4"/>
  <c r="AE859" i="4"/>
  <c r="AD859" i="4"/>
  <c r="AC859" i="4"/>
  <c r="AB859" i="4"/>
  <c r="AA859" i="4"/>
  <c r="Z859" i="4"/>
  <c r="Y859" i="4"/>
  <c r="X859" i="4"/>
  <c r="W859" i="4"/>
  <c r="V859" i="4"/>
  <c r="U859" i="4"/>
  <c r="T859" i="4"/>
  <c r="S859" i="4"/>
  <c r="R859" i="4"/>
  <c r="Q859" i="4"/>
  <c r="P859" i="4"/>
  <c r="O859" i="4"/>
  <c r="N859" i="4"/>
  <c r="M859" i="4"/>
  <c r="L859" i="4"/>
  <c r="K859" i="4"/>
  <c r="J859" i="4"/>
  <c r="I859" i="4"/>
  <c r="C859" i="4"/>
  <c r="AK858" i="4"/>
  <c r="AJ858" i="4"/>
  <c r="AI858" i="4"/>
  <c r="AH858" i="4"/>
  <c r="AG858" i="4"/>
  <c r="AF858" i="4"/>
  <c r="AE858" i="4"/>
  <c r="AD858" i="4"/>
  <c r="AC858" i="4"/>
  <c r="AB858" i="4"/>
  <c r="AA858" i="4"/>
  <c r="Z858" i="4"/>
  <c r="Y858" i="4"/>
  <c r="X858" i="4"/>
  <c r="W858" i="4"/>
  <c r="V858" i="4"/>
  <c r="U858" i="4"/>
  <c r="T858" i="4"/>
  <c r="S858" i="4"/>
  <c r="R858" i="4"/>
  <c r="Q858" i="4"/>
  <c r="P858" i="4"/>
  <c r="O858" i="4"/>
  <c r="N858" i="4"/>
  <c r="M858" i="4"/>
  <c r="L858" i="4"/>
  <c r="K858" i="4"/>
  <c r="J858" i="4"/>
  <c r="I858" i="4"/>
  <c r="C858" i="4"/>
  <c r="AK857" i="4"/>
  <c r="AJ857" i="4"/>
  <c r="AI857" i="4"/>
  <c r="AH857" i="4"/>
  <c r="AG857" i="4"/>
  <c r="AF857" i="4"/>
  <c r="AE857" i="4"/>
  <c r="AD857" i="4"/>
  <c r="AC857" i="4"/>
  <c r="AB857" i="4"/>
  <c r="AA857" i="4"/>
  <c r="Z857" i="4"/>
  <c r="Y857" i="4"/>
  <c r="X857" i="4"/>
  <c r="W857" i="4"/>
  <c r="V857" i="4"/>
  <c r="U857" i="4"/>
  <c r="T857" i="4"/>
  <c r="S857" i="4"/>
  <c r="R857" i="4"/>
  <c r="Q857" i="4"/>
  <c r="P857" i="4"/>
  <c r="O857" i="4"/>
  <c r="N857" i="4"/>
  <c r="M857" i="4"/>
  <c r="L857" i="4"/>
  <c r="K857" i="4"/>
  <c r="J857" i="4"/>
  <c r="I857" i="4"/>
  <c r="C857" i="4"/>
  <c r="AK856" i="4"/>
  <c r="AJ856" i="4"/>
  <c r="AI856" i="4"/>
  <c r="AH856" i="4"/>
  <c r="AG856" i="4"/>
  <c r="AF856" i="4"/>
  <c r="AE856" i="4"/>
  <c r="AD856" i="4"/>
  <c r="AC856" i="4"/>
  <c r="AB856" i="4"/>
  <c r="AA856" i="4"/>
  <c r="Z856" i="4"/>
  <c r="Y856" i="4"/>
  <c r="X856" i="4"/>
  <c r="W856" i="4"/>
  <c r="V856" i="4"/>
  <c r="U856" i="4"/>
  <c r="T856" i="4"/>
  <c r="S856" i="4"/>
  <c r="R856" i="4"/>
  <c r="Q856" i="4"/>
  <c r="P856" i="4"/>
  <c r="O856" i="4"/>
  <c r="N856" i="4"/>
  <c r="M856" i="4"/>
  <c r="L856" i="4"/>
  <c r="K856" i="4"/>
  <c r="J856" i="4"/>
  <c r="I856" i="4"/>
  <c r="C856" i="4"/>
  <c r="AK855" i="4"/>
  <c r="AJ855" i="4"/>
  <c r="AI855" i="4"/>
  <c r="AH855" i="4"/>
  <c r="AG855" i="4"/>
  <c r="AF855" i="4"/>
  <c r="AE855" i="4"/>
  <c r="AD855" i="4"/>
  <c r="AC855" i="4"/>
  <c r="AB855" i="4"/>
  <c r="AA855" i="4"/>
  <c r="Z855" i="4"/>
  <c r="Y855" i="4"/>
  <c r="X855" i="4"/>
  <c r="W855" i="4"/>
  <c r="V855" i="4"/>
  <c r="U855" i="4"/>
  <c r="T855" i="4"/>
  <c r="S855" i="4"/>
  <c r="R855" i="4"/>
  <c r="Q855" i="4"/>
  <c r="P855" i="4"/>
  <c r="O855" i="4"/>
  <c r="N855" i="4"/>
  <c r="M855" i="4"/>
  <c r="L855" i="4"/>
  <c r="K855" i="4"/>
  <c r="J855" i="4"/>
  <c r="I855" i="4"/>
  <c r="C855" i="4"/>
  <c r="AK854" i="4"/>
  <c r="AJ854" i="4"/>
  <c r="AI854" i="4"/>
  <c r="AH854" i="4"/>
  <c r="AG854" i="4"/>
  <c r="AF854" i="4"/>
  <c r="AE854" i="4"/>
  <c r="AD854" i="4"/>
  <c r="AC854" i="4"/>
  <c r="AB854" i="4"/>
  <c r="AA854" i="4"/>
  <c r="Z854" i="4"/>
  <c r="Y854" i="4"/>
  <c r="X854" i="4"/>
  <c r="W854" i="4"/>
  <c r="V854" i="4"/>
  <c r="U854" i="4"/>
  <c r="T854" i="4"/>
  <c r="S854" i="4"/>
  <c r="R854" i="4"/>
  <c r="Q854" i="4"/>
  <c r="P854" i="4"/>
  <c r="O854" i="4"/>
  <c r="N854" i="4"/>
  <c r="M854" i="4"/>
  <c r="L854" i="4"/>
  <c r="K854" i="4"/>
  <c r="J854" i="4"/>
  <c r="I854" i="4"/>
  <c r="C854" i="4"/>
  <c r="AK853" i="4"/>
  <c r="AJ853" i="4"/>
  <c r="AI853" i="4"/>
  <c r="AH853" i="4"/>
  <c r="AG853" i="4"/>
  <c r="AF853" i="4"/>
  <c r="AE853" i="4"/>
  <c r="AD853" i="4"/>
  <c r="AC853" i="4"/>
  <c r="AB853" i="4"/>
  <c r="AA853" i="4"/>
  <c r="Z853" i="4"/>
  <c r="Y853" i="4"/>
  <c r="X853" i="4"/>
  <c r="W853" i="4"/>
  <c r="V853" i="4"/>
  <c r="U853" i="4"/>
  <c r="T853" i="4"/>
  <c r="S853" i="4"/>
  <c r="R853" i="4"/>
  <c r="Q853" i="4"/>
  <c r="P853" i="4"/>
  <c r="O853" i="4"/>
  <c r="N853" i="4"/>
  <c r="M853" i="4"/>
  <c r="L853" i="4"/>
  <c r="K853" i="4"/>
  <c r="J853" i="4"/>
  <c r="I853" i="4"/>
  <c r="C853" i="4"/>
  <c r="AK852" i="4"/>
  <c r="AJ852" i="4"/>
  <c r="AI852" i="4"/>
  <c r="AH852" i="4"/>
  <c r="AG852" i="4"/>
  <c r="AF852" i="4"/>
  <c r="AE852" i="4"/>
  <c r="AD852" i="4"/>
  <c r="AC852" i="4"/>
  <c r="AB852" i="4"/>
  <c r="AA852" i="4"/>
  <c r="Z852" i="4"/>
  <c r="Y852" i="4"/>
  <c r="X852" i="4"/>
  <c r="W852" i="4"/>
  <c r="V852" i="4"/>
  <c r="U852" i="4"/>
  <c r="T852" i="4"/>
  <c r="S852" i="4"/>
  <c r="R852" i="4"/>
  <c r="Q852" i="4"/>
  <c r="P852" i="4"/>
  <c r="O852" i="4"/>
  <c r="N852" i="4"/>
  <c r="M852" i="4"/>
  <c r="L852" i="4"/>
  <c r="K852" i="4"/>
  <c r="J852" i="4"/>
  <c r="I852" i="4"/>
  <c r="C852" i="4"/>
  <c r="AK851" i="4"/>
  <c r="AJ851" i="4"/>
  <c r="AI851" i="4"/>
  <c r="AH851" i="4"/>
  <c r="AG851" i="4"/>
  <c r="AF851" i="4"/>
  <c r="AE851" i="4"/>
  <c r="AD851" i="4"/>
  <c r="AC851" i="4"/>
  <c r="AB851" i="4"/>
  <c r="AA851" i="4"/>
  <c r="Z851" i="4"/>
  <c r="Y851" i="4"/>
  <c r="X851" i="4"/>
  <c r="W851" i="4"/>
  <c r="V851" i="4"/>
  <c r="U851" i="4"/>
  <c r="T851" i="4"/>
  <c r="S851" i="4"/>
  <c r="R851" i="4"/>
  <c r="Q851" i="4"/>
  <c r="P851" i="4"/>
  <c r="O851" i="4"/>
  <c r="N851" i="4"/>
  <c r="M851" i="4"/>
  <c r="L851" i="4"/>
  <c r="K851" i="4"/>
  <c r="J851" i="4"/>
  <c r="I851" i="4"/>
  <c r="C851" i="4"/>
  <c r="AK850" i="4"/>
  <c r="AJ850" i="4"/>
  <c r="AI850" i="4"/>
  <c r="AH850" i="4"/>
  <c r="AG850" i="4"/>
  <c r="AF850" i="4"/>
  <c r="AE850" i="4"/>
  <c r="AD850" i="4"/>
  <c r="AC850" i="4"/>
  <c r="AB850" i="4"/>
  <c r="AA850" i="4"/>
  <c r="Z850" i="4"/>
  <c r="Y850" i="4"/>
  <c r="X850" i="4"/>
  <c r="W850" i="4"/>
  <c r="V850" i="4"/>
  <c r="U850" i="4"/>
  <c r="T850" i="4"/>
  <c r="S850" i="4"/>
  <c r="R850" i="4"/>
  <c r="Q850" i="4"/>
  <c r="P850" i="4"/>
  <c r="O850" i="4"/>
  <c r="N850" i="4"/>
  <c r="M850" i="4"/>
  <c r="L850" i="4"/>
  <c r="K850" i="4"/>
  <c r="J850" i="4"/>
  <c r="I850" i="4"/>
  <c r="C850" i="4"/>
  <c r="AK849" i="4"/>
  <c r="AJ849" i="4"/>
  <c r="AI849" i="4"/>
  <c r="AH849" i="4"/>
  <c r="AG849" i="4"/>
  <c r="AF849" i="4"/>
  <c r="AE849" i="4"/>
  <c r="AD849" i="4"/>
  <c r="AC849" i="4"/>
  <c r="AB849" i="4"/>
  <c r="AA849" i="4"/>
  <c r="Z849" i="4"/>
  <c r="Y849" i="4"/>
  <c r="X849" i="4"/>
  <c r="W849" i="4"/>
  <c r="V849" i="4"/>
  <c r="U849" i="4"/>
  <c r="T849" i="4"/>
  <c r="S849" i="4"/>
  <c r="R849" i="4"/>
  <c r="Q849" i="4"/>
  <c r="P849" i="4"/>
  <c r="O849" i="4"/>
  <c r="N849" i="4"/>
  <c r="M849" i="4"/>
  <c r="L849" i="4"/>
  <c r="K849" i="4"/>
  <c r="J849" i="4"/>
  <c r="I849" i="4"/>
  <c r="C849" i="4"/>
  <c r="AK848" i="4"/>
  <c r="AJ848" i="4"/>
  <c r="AI848" i="4"/>
  <c r="AH848" i="4"/>
  <c r="AG848" i="4"/>
  <c r="AF848" i="4"/>
  <c r="AE848" i="4"/>
  <c r="AD848" i="4"/>
  <c r="AC848" i="4"/>
  <c r="AB848" i="4"/>
  <c r="AA848" i="4"/>
  <c r="Z848" i="4"/>
  <c r="Y848" i="4"/>
  <c r="X848" i="4"/>
  <c r="W848" i="4"/>
  <c r="V848" i="4"/>
  <c r="U848" i="4"/>
  <c r="T848" i="4"/>
  <c r="S848" i="4"/>
  <c r="R848" i="4"/>
  <c r="Q848" i="4"/>
  <c r="P848" i="4"/>
  <c r="O848" i="4"/>
  <c r="N848" i="4"/>
  <c r="M848" i="4"/>
  <c r="L848" i="4"/>
  <c r="K848" i="4"/>
  <c r="J848" i="4"/>
  <c r="I848" i="4"/>
  <c r="C848" i="4"/>
  <c r="AK847" i="4"/>
  <c r="AJ847" i="4"/>
  <c r="AI847" i="4"/>
  <c r="AH847" i="4"/>
  <c r="AG847" i="4"/>
  <c r="AF847" i="4"/>
  <c r="AE847" i="4"/>
  <c r="AD847" i="4"/>
  <c r="AC847" i="4"/>
  <c r="AB847" i="4"/>
  <c r="AA847" i="4"/>
  <c r="Z847" i="4"/>
  <c r="Y847" i="4"/>
  <c r="X847" i="4"/>
  <c r="W847" i="4"/>
  <c r="V847" i="4"/>
  <c r="U847" i="4"/>
  <c r="T847" i="4"/>
  <c r="S847" i="4"/>
  <c r="R847" i="4"/>
  <c r="Q847" i="4"/>
  <c r="P847" i="4"/>
  <c r="O847" i="4"/>
  <c r="N847" i="4"/>
  <c r="M847" i="4"/>
  <c r="L847" i="4"/>
  <c r="K847" i="4"/>
  <c r="J847" i="4"/>
  <c r="I847" i="4"/>
  <c r="C847" i="4"/>
  <c r="AK846" i="4"/>
  <c r="AJ846" i="4"/>
  <c r="AI846" i="4"/>
  <c r="AH846" i="4"/>
  <c r="AG846" i="4"/>
  <c r="AF846" i="4"/>
  <c r="AE846" i="4"/>
  <c r="AD846" i="4"/>
  <c r="AC846" i="4"/>
  <c r="AB846" i="4"/>
  <c r="AA846" i="4"/>
  <c r="Z846" i="4"/>
  <c r="Y846" i="4"/>
  <c r="X846" i="4"/>
  <c r="W846" i="4"/>
  <c r="V846" i="4"/>
  <c r="U846" i="4"/>
  <c r="T846" i="4"/>
  <c r="S846" i="4"/>
  <c r="R846" i="4"/>
  <c r="Q846" i="4"/>
  <c r="P846" i="4"/>
  <c r="O846" i="4"/>
  <c r="N846" i="4"/>
  <c r="M846" i="4"/>
  <c r="L846" i="4"/>
  <c r="K846" i="4"/>
  <c r="J846" i="4"/>
  <c r="I846" i="4"/>
  <c r="C846" i="4"/>
  <c r="AK818" i="4"/>
  <c r="AJ818" i="4"/>
  <c r="AI818" i="4"/>
  <c r="AH818" i="4"/>
  <c r="AG818" i="4"/>
  <c r="AF818" i="4"/>
  <c r="AE818" i="4"/>
  <c r="AD818" i="4"/>
  <c r="AC818" i="4"/>
  <c r="AB818" i="4"/>
  <c r="AA818" i="4"/>
  <c r="Z818" i="4"/>
  <c r="Y818" i="4"/>
  <c r="X818" i="4"/>
  <c r="W818" i="4"/>
  <c r="V818" i="4"/>
  <c r="U818" i="4"/>
  <c r="T818" i="4"/>
  <c r="S818" i="4"/>
  <c r="R818" i="4"/>
  <c r="Q818" i="4"/>
  <c r="P818" i="4"/>
  <c r="O818" i="4"/>
  <c r="N818" i="4"/>
  <c r="AK817" i="4"/>
  <c r="AJ817" i="4"/>
  <c r="AI817" i="4"/>
  <c r="AH817" i="4"/>
  <c r="AG817" i="4"/>
  <c r="AF817" i="4"/>
  <c r="AE817" i="4"/>
  <c r="AD817" i="4"/>
  <c r="AC817" i="4"/>
  <c r="AB817" i="4"/>
  <c r="AA817" i="4"/>
  <c r="Z817" i="4"/>
  <c r="Y817" i="4"/>
  <c r="X817" i="4"/>
  <c r="W817" i="4"/>
  <c r="V817" i="4"/>
  <c r="U817" i="4"/>
  <c r="T817" i="4"/>
  <c r="S817" i="4"/>
  <c r="R817" i="4"/>
  <c r="Q817" i="4"/>
  <c r="P817" i="4"/>
  <c r="O817" i="4"/>
  <c r="N817" i="4"/>
  <c r="AK816" i="4"/>
  <c r="AJ816" i="4"/>
  <c r="AI816" i="4"/>
  <c r="AH816" i="4"/>
  <c r="AG816" i="4"/>
  <c r="AF816" i="4"/>
  <c r="AE816" i="4"/>
  <c r="AD816" i="4"/>
  <c r="AC816" i="4"/>
  <c r="AB816" i="4"/>
  <c r="AA816" i="4"/>
  <c r="Z816" i="4"/>
  <c r="Y816" i="4"/>
  <c r="X816" i="4"/>
  <c r="W816" i="4"/>
  <c r="V816" i="4"/>
  <c r="U816" i="4"/>
  <c r="T816" i="4"/>
  <c r="S816" i="4"/>
  <c r="R816" i="4"/>
  <c r="Q816" i="4"/>
  <c r="P816" i="4"/>
  <c r="O816" i="4"/>
  <c r="N816" i="4"/>
  <c r="AK815" i="4"/>
  <c r="AJ815" i="4"/>
  <c r="AI815" i="4"/>
  <c r="AH815" i="4"/>
  <c r="AG815" i="4"/>
  <c r="AF815" i="4"/>
  <c r="AE815" i="4"/>
  <c r="AD815" i="4"/>
  <c r="AC815" i="4"/>
  <c r="AB815" i="4"/>
  <c r="AA815" i="4"/>
  <c r="Z815" i="4"/>
  <c r="Y815" i="4"/>
  <c r="X815" i="4"/>
  <c r="W815" i="4"/>
  <c r="V815" i="4"/>
  <c r="U815" i="4"/>
  <c r="T815" i="4"/>
  <c r="S815" i="4"/>
  <c r="R815" i="4"/>
  <c r="Q815" i="4"/>
  <c r="P815" i="4"/>
  <c r="O815" i="4"/>
  <c r="N815" i="4"/>
  <c r="Q717" i="4"/>
  <c r="U715" i="4"/>
  <c r="S715" i="4"/>
  <c r="AK679" i="4"/>
  <c r="AJ679" i="4"/>
  <c r="AJ678" i="4" s="1"/>
  <c r="AI679" i="4"/>
  <c r="AH679" i="4"/>
  <c r="AG679" i="4"/>
  <c r="AF679" i="4"/>
  <c r="AE679" i="4"/>
  <c r="AD679" i="4"/>
  <c r="AC679" i="4"/>
  <c r="AB679" i="4"/>
  <c r="AA679" i="4"/>
  <c r="Z679" i="4"/>
  <c r="Y679" i="4"/>
  <c r="X679" i="4"/>
  <c r="W679" i="4"/>
  <c r="V679" i="4"/>
  <c r="U679" i="4"/>
  <c r="T679" i="4"/>
  <c r="S679" i="4"/>
  <c r="R679" i="4"/>
  <c r="Q679" i="4"/>
  <c r="P679" i="4"/>
  <c r="P678" i="4" s="1"/>
  <c r="O679" i="4"/>
  <c r="O678" i="4" s="1"/>
  <c r="N679" i="4"/>
  <c r="N678" i="4" s="1"/>
  <c r="M679" i="4"/>
  <c r="M678" i="4" s="1"/>
  <c r="L679" i="4"/>
  <c r="L678" i="4" s="1"/>
  <c r="K679" i="4"/>
  <c r="K678" i="4" s="1"/>
  <c r="J679" i="4"/>
  <c r="J678" i="4" s="1"/>
  <c r="I679" i="4"/>
  <c r="I678" i="4" s="1"/>
  <c r="AA608" i="4"/>
  <c r="Z608" i="4"/>
  <c r="S608" i="4"/>
  <c r="P593" i="4"/>
  <c r="L593" i="4"/>
  <c r="AK585" i="4"/>
  <c r="AJ585" i="4"/>
  <c r="AI585" i="4"/>
  <c r="AH585" i="4"/>
  <c r="AG585" i="4"/>
  <c r="AF585" i="4"/>
  <c r="AE585" i="4"/>
  <c r="AD585" i="4"/>
  <c r="AC585" i="4"/>
  <c r="AB585" i="4"/>
  <c r="AA585" i="4"/>
  <c r="Z585" i="4"/>
  <c r="Y585" i="4"/>
  <c r="X585" i="4"/>
  <c r="W585" i="4"/>
  <c r="V585" i="4"/>
  <c r="U585" i="4"/>
  <c r="T585" i="4"/>
  <c r="S585" i="4"/>
  <c r="R585" i="4"/>
  <c r="Q585" i="4"/>
  <c r="P585" i="4"/>
  <c r="O585" i="4"/>
  <c r="N585" i="4"/>
  <c r="M585" i="4"/>
  <c r="L585" i="4"/>
  <c r="K585" i="4"/>
  <c r="J585" i="4"/>
  <c r="I585" i="4"/>
  <c r="AK584" i="4"/>
  <c r="AK606" i="4" s="1"/>
  <c r="AJ584" i="4"/>
  <c r="AJ606" i="4" s="1"/>
  <c r="AI584" i="4"/>
  <c r="AI606" i="4" s="1"/>
  <c r="AH584" i="4"/>
  <c r="AH606" i="4" s="1"/>
  <c r="AG584" i="4"/>
  <c r="AG606" i="4" s="1"/>
  <c r="AF584" i="4"/>
  <c r="AF606" i="4" s="1"/>
  <c r="AE584" i="4"/>
  <c r="AE606" i="4" s="1"/>
  <c r="AD584" i="4"/>
  <c r="AD606" i="4" s="1"/>
  <c r="AC584" i="4"/>
  <c r="AC606" i="4" s="1"/>
  <c r="AB584" i="4"/>
  <c r="AB606" i="4" s="1"/>
  <c r="AA584" i="4"/>
  <c r="AA606" i="4" s="1"/>
  <c r="Z584" i="4"/>
  <c r="Y584" i="4"/>
  <c r="X584" i="4"/>
  <c r="W584" i="4"/>
  <c r="V584" i="4"/>
  <c r="U584" i="4"/>
  <c r="T584" i="4"/>
  <c r="S584" i="4"/>
  <c r="R584" i="4"/>
  <c r="Q584" i="4"/>
  <c r="P584" i="4"/>
  <c r="O584" i="4"/>
  <c r="N584" i="4"/>
  <c r="M584" i="4"/>
  <c r="L584" i="4"/>
  <c r="K584" i="4"/>
  <c r="J584" i="4"/>
  <c r="I584" i="4"/>
  <c r="AK583" i="4"/>
  <c r="AJ583" i="4"/>
  <c r="AI583" i="4"/>
  <c r="AH583" i="4"/>
  <c r="AG583" i="4"/>
  <c r="AF583" i="4"/>
  <c r="AE583" i="4"/>
  <c r="AD583" i="4"/>
  <c r="AC583" i="4"/>
  <c r="AB583" i="4"/>
  <c r="AA583" i="4"/>
  <c r="Z583" i="4"/>
  <c r="Y583" i="4"/>
  <c r="X583" i="4"/>
  <c r="W583" i="4"/>
  <c r="V583" i="4"/>
  <c r="U583" i="4"/>
  <c r="T583" i="4"/>
  <c r="S583" i="4"/>
  <c r="R583" i="4"/>
  <c r="Q583" i="4"/>
  <c r="P583" i="4"/>
  <c r="O583" i="4"/>
  <c r="N583" i="4"/>
  <c r="M583" i="4"/>
  <c r="L583" i="4"/>
  <c r="K583" i="4"/>
  <c r="J583" i="4"/>
  <c r="I583" i="4"/>
  <c r="W578" i="4"/>
  <c r="AK407" i="4"/>
  <c r="AJ407" i="4"/>
  <c r="AI407" i="4"/>
  <c r="AH407" i="4"/>
  <c r="AG407" i="4"/>
  <c r="AF407" i="4"/>
  <c r="AE407" i="4"/>
  <c r="AD407" i="4"/>
  <c r="AC407" i="4"/>
  <c r="AB407" i="4"/>
  <c r="AA407" i="4"/>
  <c r="Z407" i="4"/>
  <c r="Y407" i="4"/>
  <c r="AK406" i="4"/>
  <c r="AJ406" i="4"/>
  <c r="AI406" i="4"/>
  <c r="AH406" i="4"/>
  <c r="AG406" i="4"/>
  <c r="AF406" i="4"/>
  <c r="AE406" i="4"/>
  <c r="AD406" i="4"/>
  <c r="AC406" i="4"/>
  <c r="AB406" i="4"/>
  <c r="AA406" i="4"/>
  <c r="Z406" i="4"/>
  <c r="Y406" i="4"/>
  <c r="X406" i="4"/>
  <c r="W406" i="4"/>
  <c r="V406" i="4"/>
  <c r="U406" i="4"/>
  <c r="T406" i="4"/>
  <c r="S406" i="4"/>
  <c r="R406" i="4"/>
  <c r="Q406" i="4"/>
  <c r="AK417" i="4"/>
  <c r="AJ417" i="4"/>
  <c r="AI417" i="4"/>
  <c r="AH417" i="4"/>
  <c r="AG417" i="4"/>
  <c r="AF417" i="4"/>
  <c r="AE417" i="4"/>
  <c r="AD417" i="4"/>
  <c r="AC417" i="4"/>
  <c r="AB417" i="4"/>
  <c r="AA417" i="4"/>
  <c r="Z417" i="4"/>
  <c r="Y417" i="4"/>
  <c r="AE414" i="4"/>
  <c r="AD414" i="4"/>
  <c r="AC414" i="4"/>
  <c r="AB414" i="4"/>
  <c r="AA414" i="4"/>
  <c r="Z414" i="4"/>
  <c r="Y414" i="4"/>
  <c r="X414" i="4"/>
  <c r="W414" i="4"/>
  <c r="V414" i="4"/>
  <c r="U414" i="4"/>
  <c r="T414" i="4"/>
  <c r="S414" i="4"/>
  <c r="R414" i="4"/>
  <c r="Q414" i="4"/>
  <c r="AK401" i="4"/>
  <c r="AJ401" i="4"/>
  <c r="AI401" i="4"/>
  <c r="AH401" i="4"/>
  <c r="AG401" i="4"/>
  <c r="AF401" i="4"/>
  <c r="AE401" i="4"/>
  <c r="AD401" i="4"/>
  <c r="AC401" i="4"/>
  <c r="AB401" i="4"/>
  <c r="AA401" i="4"/>
  <c r="Z401" i="4"/>
  <c r="Y401" i="4"/>
  <c r="AK396" i="4"/>
  <c r="AK395" i="4" s="1"/>
  <c r="AJ396" i="4"/>
  <c r="AJ395" i="4" s="1"/>
  <c r="AI396" i="4"/>
  <c r="AI395" i="4" s="1"/>
  <c r="AH396" i="4"/>
  <c r="AG396" i="4"/>
  <c r="AG395" i="4" s="1"/>
  <c r="AF396" i="4"/>
  <c r="AF395" i="4" s="1"/>
  <c r="AE396" i="4"/>
  <c r="AE395" i="4" s="1"/>
  <c r="AD396" i="4"/>
  <c r="AC396" i="4"/>
  <c r="AC395" i="4" s="1"/>
  <c r="AB396" i="4"/>
  <c r="AB395" i="4" s="1"/>
  <c r="AA396" i="4"/>
  <c r="AA395" i="4" s="1"/>
  <c r="Z396" i="4"/>
  <c r="Y396" i="4"/>
  <c r="Y395" i="4" s="1"/>
  <c r="X396" i="4"/>
  <c r="W396" i="4"/>
  <c r="V396" i="4"/>
  <c r="U396" i="4"/>
  <c r="T396" i="4"/>
  <c r="S396" i="4"/>
  <c r="R396" i="4"/>
  <c r="Q396" i="4"/>
  <c r="P396" i="4"/>
  <c r="O396" i="4"/>
  <c r="N396" i="4"/>
  <c r="M396" i="4"/>
  <c r="L396" i="4"/>
  <c r="K396" i="4"/>
  <c r="J396" i="4"/>
  <c r="I396" i="4"/>
  <c r="AK344" i="4"/>
  <c r="AJ344" i="4"/>
  <c r="AI344" i="4"/>
  <c r="AH344" i="4"/>
  <c r="AG344" i="4"/>
  <c r="AF344" i="4"/>
  <c r="AE344" i="4"/>
  <c r="AD344" i="4"/>
  <c r="AC344" i="4"/>
  <c r="AB344" i="4"/>
  <c r="AA344" i="4"/>
  <c r="Z344" i="4"/>
  <c r="Y344" i="4"/>
  <c r="X344" i="4"/>
  <c r="W344" i="4"/>
  <c r="V344" i="4"/>
  <c r="U344" i="4"/>
  <c r="T344" i="4"/>
  <c r="S344" i="4"/>
  <c r="R344" i="4"/>
  <c r="Q344" i="4"/>
  <c r="P344" i="4"/>
  <c r="O344" i="4"/>
  <c r="N344" i="4"/>
  <c r="M344" i="4"/>
  <c r="L344" i="4"/>
  <c r="K344" i="4"/>
  <c r="J344" i="4"/>
  <c r="I344" i="4"/>
  <c r="AK343" i="4"/>
  <c r="AJ343" i="4"/>
  <c r="AI343" i="4"/>
  <c r="AH343" i="4"/>
  <c r="AG343" i="4"/>
  <c r="AF343" i="4"/>
  <c r="AE343" i="4"/>
  <c r="AD343" i="4"/>
  <c r="AC343" i="4"/>
  <c r="AB343" i="4"/>
  <c r="AA343" i="4"/>
  <c r="Z343" i="4"/>
  <c r="Y343" i="4"/>
  <c r="X343" i="4"/>
  <c r="W343" i="4"/>
  <c r="V343" i="4"/>
  <c r="U343" i="4"/>
  <c r="T343" i="4"/>
  <c r="S343" i="4"/>
  <c r="R343" i="4"/>
  <c r="Q343" i="4"/>
  <c r="P343" i="4"/>
  <c r="O343" i="4"/>
  <c r="N343" i="4"/>
  <c r="M343" i="4"/>
  <c r="L343" i="4"/>
  <c r="K343" i="4"/>
  <c r="J343" i="4"/>
  <c r="I343" i="4"/>
  <c r="AK339" i="4"/>
  <c r="AJ339" i="4"/>
  <c r="AI339" i="4"/>
  <c r="AH339" i="4"/>
  <c r="AG339" i="4"/>
  <c r="AF339" i="4"/>
  <c r="AE339" i="4"/>
  <c r="AD339" i="4"/>
  <c r="AC339" i="4"/>
  <c r="AB339" i="4"/>
  <c r="AA339" i="4"/>
  <c r="Z339" i="4"/>
  <c r="Y339" i="4"/>
  <c r="X339" i="4"/>
  <c r="W339" i="4"/>
  <c r="V339" i="4"/>
  <c r="U339" i="4"/>
  <c r="T339" i="4"/>
  <c r="S339" i="4"/>
  <c r="R339" i="4"/>
  <c r="Q339" i="4"/>
  <c r="P339" i="4"/>
  <c r="O339" i="4"/>
  <c r="N339" i="4"/>
  <c r="M339" i="4"/>
  <c r="L339" i="4"/>
  <c r="K339" i="4"/>
  <c r="J339" i="4"/>
  <c r="I339" i="4"/>
  <c r="AK301" i="4"/>
  <c r="AJ301" i="4"/>
  <c r="AI301" i="4"/>
  <c r="AH301" i="4"/>
  <c r="AG301" i="4"/>
  <c r="AF301" i="4"/>
  <c r="AE301" i="4"/>
  <c r="AD301" i="4"/>
  <c r="AC301" i="4"/>
  <c r="AB301" i="4"/>
  <c r="AA301" i="4"/>
  <c r="Z301" i="4"/>
  <c r="W301" i="4"/>
  <c r="Y169" i="4"/>
  <c r="O169" i="4"/>
  <c r="Y167" i="4"/>
  <c r="O167" i="4"/>
  <c r="Y163" i="4"/>
  <c r="O163" i="4"/>
  <c r="O160" i="4" s="1"/>
  <c r="AK149" i="4"/>
  <c r="AJ149" i="4"/>
  <c r="AI149" i="4"/>
  <c r="AH149" i="4"/>
  <c r="AG149" i="4"/>
  <c r="AF149" i="4"/>
  <c r="AE149" i="4"/>
  <c r="AD149" i="4"/>
  <c r="AC149" i="4"/>
  <c r="AB149" i="4"/>
  <c r="AA149" i="4"/>
  <c r="Z149" i="4"/>
  <c r="Y149" i="4"/>
  <c r="X149" i="4"/>
  <c r="W149" i="4"/>
  <c r="V149" i="4"/>
  <c r="U149" i="4"/>
  <c r="T149" i="4"/>
  <c r="S149" i="4"/>
  <c r="R149" i="4"/>
  <c r="Q149" i="4"/>
  <c r="P149" i="4"/>
  <c r="O149" i="4"/>
  <c r="O151" i="4" s="1"/>
  <c r="AK1220" i="3"/>
  <c r="AJ1220" i="3"/>
  <c r="AI1220" i="3"/>
  <c r="AH1220" i="3"/>
  <c r="AG1220" i="3"/>
  <c r="AF1220" i="3"/>
  <c r="AE1220" i="3"/>
  <c r="AD1220" i="3"/>
  <c r="AC1220" i="3"/>
  <c r="AB1220" i="3"/>
  <c r="AA1220" i="3"/>
  <c r="Z1220" i="3"/>
  <c r="Y1220" i="3"/>
  <c r="X1220" i="3"/>
  <c r="W1220" i="3"/>
  <c r="V1220" i="3"/>
  <c r="U1220" i="3"/>
  <c r="T1220" i="3"/>
  <c r="S1220" i="3"/>
  <c r="R1220" i="3"/>
  <c r="Q1220" i="3"/>
  <c r="P1220" i="3"/>
  <c r="O1220" i="3"/>
  <c r="N1220" i="3"/>
  <c r="AK1207" i="3"/>
  <c r="AJ1207" i="3"/>
  <c r="AI1207" i="3"/>
  <c r="AH1207" i="3"/>
  <c r="AG1207" i="3"/>
  <c r="AF1207" i="3"/>
  <c r="AE1207" i="3"/>
  <c r="AD1207" i="3"/>
  <c r="AC1207" i="3"/>
  <c r="AB1207" i="3"/>
  <c r="AA1207" i="3"/>
  <c r="Z1207" i="3"/>
  <c r="Y1207" i="3"/>
  <c r="X1207" i="3"/>
  <c r="W1207" i="3"/>
  <c r="V1207" i="3"/>
  <c r="U1207" i="3"/>
  <c r="T1207" i="3"/>
  <c r="S1207" i="3"/>
  <c r="R1207" i="3"/>
  <c r="Q1207" i="3"/>
  <c r="P1207" i="3"/>
  <c r="O1207" i="3"/>
  <c r="N1207" i="3"/>
  <c r="AK1206" i="3"/>
  <c r="AK144" i="4" s="1"/>
  <c r="AJ1206" i="3"/>
  <c r="AJ144" i="4" s="1"/>
  <c r="AI1206" i="3"/>
  <c r="AI144" i="4" s="1"/>
  <c r="AH1206" i="3"/>
  <c r="AH144" i="4" s="1"/>
  <c r="AG1206" i="3"/>
  <c r="AG144" i="4" s="1"/>
  <c r="AF1206" i="3"/>
  <c r="AF144" i="4" s="1"/>
  <c r="AE1206" i="3"/>
  <c r="AE144" i="4" s="1"/>
  <c r="AD1206" i="3"/>
  <c r="AD144" i="4" s="1"/>
  <c r="AC1206" i="3"/>
  <c r="AC144" i="4" s="1"/>
  <c r="AB1206" i="3"/>
  <c r="AB144" i="4" s="1"/>
  <c r="AA1206" i="3"/>
  <c r="AA144" i="4" s="1"/>
  <c r="Z1206" i="3"/>
  <c r="Z144" i="4" s="1"/>
  <c r="Y1206" i="3"/>
  <c r="Y144" i="4" s="1"/>
  <c r="X1206" i="3"/>
  <c r="X144" i="4" s="1"/>
  <c r="W1206" i="3"/>
  <c r="W144" i="4" s="1"/>
  <c r="V1206" i="3"/>
  <c r="V144" i="4" s="1"/>
  <c r="U1206" i="3"/>
  <c r="U144" i="4" s="1"/>
  <c r="T1206" i="3"/>
  <c r="T144" i="4" s="1"/>
  <c r="S1206" i="3"/>
  <c r="S144" i="4" s="1"/>
  <c r="R1206" i="3"/>
  <c r="R144" i="4" s="1"/>
  <c r="Q1206" i="3"/>
  <c r="Q144" i="4" s="1"/>
  <c r="P1206" i="3"/>
  <c r="P144" i="4" s="1"/>
  <c r="O1206" i="3"/>
  <c r="O144" i="4" s="1"/>
  <c r="N1206" i="3"/>
  <c r="N144" i="4" s="1"/>
  <c r="AK1193" i="3"/>
  <c r="AJ1193" i="3"/>
  <c r="AI1193" i="3"/>
  <c r="AH1193" i="3"/>
  <c r="AG1193" i="3"/>
  <c r="AF1193" i="3"/>
  <c r="AE1193" i="3"/>
  <c r="AD1193" i="3"/>
  <c r="AC1193" i="3"/>
  <c r="AB1193" i="3"/>
  <c r="AA1193" i="3"/>
  <c r="Z1193" i="3"/>
  <c r="Y1193" i="3"/>
  <c r="X1193" i="3"/>
  <c r="W1193" i="3"/>
  <c r="V1193" i="3"/>
  <c r="U1193" i="3"/>
  <c r="T1193" i="3"/>
  <c r="S1193" i="3"/>
  <c r="R1193" i="3"/>
  <c r="Q1193" i="3"/>
  <c r="P1193" i="3"/>
  <c r="O1193" i="3"/>
  <c r="N1193" i="3"/>
  <c r="AK1180" i="3"/>
  <c r="AJ1180" i="3"/>
  <c r="AI1180" i="3"/>
  <c r="AH1180" i="3"/>
  <c r="AG1180" i="3"/>
  <c r="AF1180" i="3"/>
  <c r="AE1180" i="3"/>
  <c r="AD1180" i="3"/>
  <c r="AC1180" i="3"/>
  <c r="AB1180" i="3"/>
  <c r="AA1180" i="3"/>
  <c r="Z1180" i="3"/>
  <c r="Y1180" i="3"/>
  <c r="X1180" i="3"/>
  <c r="W1180" i="3"/>
  <c r="V1180" i="3"/>
  <c r="U1180" i="3"/>
  <c r="T1180" i="3"/>
  <c r="S1180" i="3"/>
  <c r="R1180" i="3"/>
  <c r="Q1180" i="3"/>
  <c r="P1180" i="3"/>
  <c r="O1180" i="3"/>
  <c r="N1180" i="3"/>
  <c r="AK1179" i="3"/>
  <c r="AK1111" i="4" s="1"/>
  <c r="AJ1179" i="3"/>
  <c r="AJ1111" i="4" s="1"/>
  <c r="AI1179" i="3"/>
  <c r="AI1111" i="4" s="1"/>
  <c r="AH1179" i="3"/>
  <c r="AH1111" i="4" s="1"/>
  <c r="AG1179" i="3"/>
  <c r="AG1111" i="4" s="1"/>
  <c r="AF1179" i="3"/>
  <c r="AF1111" i="4" s="1"/>
  <c r="AE1179" i="3"/>
  <c r="AE1111" i="4" s="1"/>
  <c r="AD1179" i="3"/>
  <c r="AD1111" i="4" s="1"/>
  <c r="AC1179" i="3"/>
  <c r="AC1111" i="4" s="1"/>
  <c r="AB1179" i="3"/>
  <c r="AB1111" i="4" s="1"/>
  <c r="AA1179" i="3"/>
  <c r="AA1111" i="4" s="1"/>
  <c r="Z1179" i="3"/>
  <c r="Z1111" i="4" s="1"/>
  <c r="Y1179" i="3"/>
  <c r="Y1111" i="4" s="1"/>
  <c r="X1179" i="3"/>
  <c r="X1111" i="4" s="1"/>
  <c r="W1179" i="3"/>
  <c r="W1111" i="4" s="1"/>
  <c r="V1179" i="3"/>
  <c r="V1111" i="4" s="1"/>
  <c r="U1179" i="3"/>
  <c r="U1111" i="4" s="1"/>
  <c r="T1179" i="3"/>
  <c r="T1111" i="4" s="1"/>
  <c r="S1179" i="3"/>
  <c r="S1111" i="4" s="1"/>
  <c r="R1179" i="3"/>
  <c r="R1111" i="4" s="1"/>
  <c r="Q1179" i="3"/>
  <c r="Q1111" i="4" s="1"/>
  <c r="P1179" i="3"/>
  <c r="P1111" i="4" s="1"/>
  <c r="O1179" i="3"/>
  <c r="O1111" i="4" s="1"/>
  <c r="N1179" i="3"/>
  <c r="N1111" i="4" s="1"/>
  <c r="AK1165" i="3"/>
  <c r="AJ1165" i="3"/>
  <c r="AI1165" i="3"/>
  <c r="AH1165" i="3"/>
  <c r="AG1165" i="3"/>
  <c r="AF1165" i="3"/>
  <c r="AE1165" i="3"/>
  <c r="AD1165" i="3"/>
  <c r="AC1165" i="3"/>
  <c r="AB1165" i="3"/>
  <c r="AA1165" i="3"/>
  <c r="Z1165" i="3"/>
  <c r="Y1165" i="3"/>
  <c r="X1165" i="3"/>
  <c r="W1165" i="3"/>
  <c r="V1165" i="3"/>
  <c r="U1165" i="3"/>
  <c r="T1165" i="3"/>
  <c r="S1165" i="3"/>
  <c r="R1165" i="3"/>
  <c r="Q1165" i="3"/>
  <c r="P1165" i="3"/>
  <c r="O1165" i="3"/>
  <c r="N1165" i="3"/>
  <c r="M1165" i="3"/>
  <c r="L1165" i="3"/>
  <c r="K1165" i="3"/>
  <c r="J1165" i="3"/>
  <c r="I1165" i="3"/>
  <c r="AK1141" i="3"/>
  <c r="AJ1141" i="3"/>
  <c r="AI1141" i="3"/>
  <c r="AH1141" i="3"/>
  <c r="AG1141" i="3"/>
  <c r="AF1141" i="3"/>
  <c r="AE1141" i="3"/>
  <c r="AD1141" i="3"/>
  <c r="AC1141" i="3"/>
  <c r="AB1141" i="3"/>
  <c r="AA1141" i="3"/>
  <c r="Z1141" i="3"/>
  <c r="Y1141" i="3"/>
  <c r="X1141" i="3"/>
  <c r="W1141" i="3"/>
  <c r="V1141" i="3"/>
  <c r="U1141" i="3"/>
  <c r="T1141" i="3"/>
  <c r="S1141" i="3"/>
  <c r="R1141" i="3"/>
  <c r="Q1141" i="3"/>
  <c r="P1141" i="3"/>
  <c r="O1141" i="3"/>
  <c r="N1141" i="3"/>
  <c r="M1141" i="3"/>
  <c r="L1141" i="3"/>
  <c r="K1141" i="3"/>
  <c r="J1141" i="3"/>
  <c r="I1141" i="3"/>
  <c r="X1083" i="3"/>
  <c r="X1011" i="4" s="1"/>
  <c r="P1082" i="3"/>
  <c r="P1081" i="3"/>
  <c r="P1080" i="3"/>
  <c r="P1079" i="3"/>
  <c r="P1078" i="3"/>
  <c r="P1077" i="3"/>
  <c r="AK1075" i="3"/>
  <c r="AJ1075" i="3"/>
  <c r="AI1075" i="3"/>
  <c r="AH1075" i="3"/>
  <c r="AG1075" i="3"/>
  <c r="AF1075" i="3"/>
  <c r="AE1075" i="3"/>
  <c r="AD1075" i="3"/>
  <c r="AC1075" i="3"/>
  <c r="AB1075" i="3"/>
  <c r="AA1075" i="3"/>
  <c r="Y1075" i="3"/>
  <c r="W1075" i="3"/>
  <c r="V1075" i="3"/>
  <c r="U1075" i="3"/>
  <c r="T1075" i="3"/>
  <c r="S1075" i="3"/>
  <c r="R1075" i="3"/>
  <c r="Q1075" i="3"/>
  <c r="AK1062" i="3"/>
  <c r="AJ1062" i="3"/>
  <c r="AI1062" i="3"/>
  <c r="AH1062" i="3"/>
  <c r="AG1062" i="3"/>
  <c r="AF1062" i="3"/>
  <c r="AE1062" i="3"/>
  <c r="AD1062" i="3"/>
  <c r="AC1062" i="3"/>
  <c r="AB1062" i="3"/>
  <c r="AA1062" i="3"/>
  <c r="Z1062" i="3"/>
  <c r="Y1062" i="3"/>
  <c r="X1062" i="3"/>
  <c r="W1062" i="3"/>
  <c r="V1062" i="3"/>
  <c r="U1062" i="3"/>
  <c r="T1062" i="3"/>
  <c r="S1062" i="3"/>
  <c r="R1062" i="3"/>
  <c r="Q1062" i="3"/>
  <c r="P1062" i="3"/>
  <c r="R1061" i="3"/>
  <c r="Q1061" i="3"/>
  <c r="P1061" i="3"/>
  <c r="R1060" i="3"/>
  <c r="Q1060" i="3"/>
  <c r="P1060" i="3"/>
  <c r="R1059" i="3"/>
  <c r="Q1059" i="3"/>
  <c r="P1059" i="3"/>
  <c r="R1058" i="3"/>
  <c r="Q1058" i="3"/>
  <c r="P1058" i="3"/>
  <c r="R1057" i="3"/>
  <c r="Q1057" i="3"/>
  <c r="P1057" i="3"/>
  <c r="R1056" i="3"/>
  <c r="Q1056" i="3"/>
  <c r="P1056" i="3"/>
  <c r="R1055" i="3"/>
  <c r="Q1055" i="3"/>
  <c r="P1055" i="3"/>
  <c r="R1054" i="3"/>
  <c r="Q1054" i="3"/>
  <c r="P1054" i="3"/>
  <c r="R1053" i="3"/>
  <c r="Q1053" i="3"/>
  <c r="P1053" i="3"/>
  <c r="R1052" i="3"/>
  <c r="Q1052" i="3"/>
  <c r="P1052" i="3"/>
  <c r="R1051" i="3"/>
  <c r="Q1051" i="3"/>
  <c r="P1051" i="3"/>
  <c r="R1050" i="3"/>
  <c r="Q1050" i="3"/>
  <c r="P1050" i="3"/>
  <c r="AK1049" i="3"/>
  <c r="AJ1049" i="3"/>
  <c r="AI1049" i="3"/>
  <c r="AH1049" i="3"/>
  <c r="AG1049" i="3"/>
  <c r="AF1049" i="3"/>
  <c r="AE1049" i="3"/>
  <c r="AD1049" i="3"/>
  <c r="AC1049" i="3"/>
  <c r="AB1049" i="3"/>
  <c r="AA1049" i="3"/>
  <c r="Z1049" i="3"/>
  <c r="Y1049" i="3"/>
  <c r="X1049" i="3"/>
  <c r="W1049" i="3"/>
  <c r="V1049" i="3"/>
  <c r="U1049" i="3"/>
  <c r="T1049" i="3"/>
  <c r="S1049" i="3"/>
  <c r="AK1036" i="3"/>
  <c r="AJ1036" i="3"/>
  <c r="AI1036" i="3"/>
  <c r="AH1036" i="3"/>
  <c r="AG1036" i="3"/>
  <c r="AF1036" i="3"/>
  <c r="AE1036" i="3"/>
  <c r="AD1036" i="3"/>
  <c r="AC1036" i="3"/>
  <c r="AB1036" i="3"/>
  <c r="AA1036" i="3"/>
  <c r="Z1036" i="3"/>
  <c r="Y1036" i="3"/>
  <c r="X1036" i="3"/>
  <c r="W1036" i="3"/>
  <c r="V1036" i="3"/>
  <c r="U1036" i="3"/>
  <c r="T1036" i="3"/>
  <c r="S1036" i="3"/>
  <c r="R1036" i="3"/>
  <c r="Q1036" i="3"/>
  <c r="P1036" i="3"/>
  <c r="Y1035" i="3"/>
  <c r="X1035" i="3"/>
  <c r="Y1034" i="3"/>
  <c r="X1034" i="3"/>
  <c r="Y1033" i="3"/>
  <c r="X1033" i="3"/>
  <c r="Z1032" i="3"/>
  <c r="Y1032" i="3"/>
  <c r="X1032" i="3"/>
  <c r="Z1031" i="3"/>
  <c r="Y1031" i="3"/>
  <c r="X1031" i="3"/>
  <c r="Z1030" i="3"/>
  <c r="Y1030" i="3"/>
  <c r="X1030" i="3"/>
  <c r="Z1029" i="3"/>
  <c r="Y1029" i="3"/>
  <c r="X1029" i="3"/>
  <c r="Z1028" i="3"/>
  <c r="Y1028" i="3"/>
  <c r="X1028" i="3"/>
  <c r="Z1027" i="3"/>
  <c r="Y1027" i="3"/>
  <c r="X1027" i="3"/>
  <c r="Z1026" i="3"/>
  <c r="Y1026" i="3"/>
  <c r="X1026" i="3"/>
  <c r="Z1025" i="3"/>
  <c r="Y1025" i="3"/>
  <c r="X1025" i="3"/>
  <c r="Z1024" i="3"/>
  <c r="Y1024" i="3"/>
  <c r="X1024" i="3"/>
  <c r="AK1023" i="3"/>
  <c r="AJ1023" i="3"/>
  <c r="AI1023" i="3"/>
  <c r="AH1023" i="3"/>
  <c r="AG1023" i="3"/>
  <c r="AF1023" i="3"/>
  <c r="AE1023" i="3"/>
  <c r="AD1023" i="3"/>
  <c r="AC1023" i="3"/>
  <c r="AB1023" i="3"/>
  <c r="AA1023" i="3"/>
  <c r="W1023" i="3"/>
  <c r="V1023" i="3"/>
  <c r="U1023" i="3"/>
  <c r="T1023" i="3"/>
  <c r="S1023" i="3"/>
  <c r="R1023" i="3"/>
  <c r="Q1023" i="3"/>
  <c r="P1023" i="3"/>
  <c r="AK989" i="3"/>
  <c r="AJ989" i="3"/>
  <c r="AI989" i="3"/>
  <c r="AH989" i="3"/>
  <c r="AG989" i="3"/>
  <c r="AF989" i="3"/>
  <c r="AE989" i="3"/>
  <c r="AD989" i="3"/>
  <c r="AC989" i="3"/>
  <c r="AB989" i="3"/>
  <c r="AA989" i="3"/>
  <c r="Z989" i="3"/>
  <c r="Y989" i="3"/>
  <c r="X989" i="3"/>
  <c r="W989" i="3"/>
  <c r="V989" i="3"/>
  <c r="U989" i="3"/>
  <c r="T989" i="3"/>
  <c r="S989" i="3"/>
  <c r="R989" i="3"/>
  <c r="Q989" i="3"/>
  <c r="P989" i="3"/>
  <c r="O989" i="3"/>
  <c r="N989" i="3"/>
  <c r="M989" i="3"/>
  <c r="L989" i="3"/>
  <c r="K989" i="3"/>
  <c r="J989" i="3"/>
  <c r="I989" i="3"/>
  <c r="AK967" i="3"/>
  <c r="AJ967" i="3"/>
  <c r="AI967" i="3"/>
  <c r="AH967" i="3"/>
  <c r="AG967" i="3"/>
  <c r="AF967" i="3"/>
  <c r="AE967" i="3"/>
  <c r="AD967" i="3"/>
  <c r="AC967" i="3"/>
  <c r="AB967" i="3"/>
  <c r="AA967" i="3"/>
  <c r="Z967" i="3"/>
  <c r="Y967" i="3"/>
  <c r="X967" i="3"/>
  <c r="W967" i="3"/>
  <c r="V967" i="3"/>
  <c r="U967" i="3"/>
  <c r="T967" i="3"/>
  <c r="S967" i="3"/>
  <c r="R967" i="3"/>
  <c r="Q967" i="3"/>
  <c r="P967" i="3"/>
  <c r="O967" i="3"/>
  <c r="N967" i="3"/>
  <c r="M967" i="3"/>
  <c r="L967" i="3"/>
  <c r="K967" i="3"/>
  <c r="J967" i="3"/>
  <c r="I967" i="3"/>
  <c r="AK931" i="3"/>
  <c r="AJ931" i="3"/>
  <c r="AI931" i="3"/>
  <c r="AH931" i="3"/>
  <c r="AG931" i="3"/>
  <c r="AF931" i="3"/>
  <c r="AE931" i="3"/>
  <c r="AD931" i="3"/>
  <c r="AC931" i="3"/>
  <c r="AB931" i="3"/>
  <c r="AA931" i="3"/>
  <c r="Z931" i="3"/>
  <c r="Y931" i="3"/>
  <c r="X931" i="3"/>
  <c r="Z893" i="3"/>
  <c r="Z303" i="4" s="1"/>
  <c r="Y893" i="3"/>
  <c r="X893" i="3"/>
  <c r="W893" i="3"/>
  <c r="W303" i="4" s="1"/>
  <c r="V893" i="3"/>
  <c r="U893" i="3"/>
  <c r="T893" i="3"/>
  <c r="S893" i="3"/>
  <c r="R893" i="3"/>
  <c r="Q893" i="3"/>
  <c r="P893" i="3"/>
  <c r="O893" i="3"/>
  <c r="N893" i="3"/>
  <c r="M893" i="3"/>
  <c r="L893" i="3"/>
  <c r="K893" i="3"/>
  <c r="J893" i="3"/>
  <c r="I893" i="3"/>
  <c r="Z890" i="3"/>
  <c r="Y890" i="3"/>
  <c r="X890" i="3"/>
  <c r="W890" i="3"/>
  <c r="V890" i="3"/>
  <c r="U890" i="3"/>
  <c r="T890" i="3"/>
  <c r="S890" i="3"/>
  <c r="R890" i="3"/>
  <c r="Q890" i="3"/>
  <c r="P890" i="3"/>
  <c r="O890" i="3"/>
  <c r="N890" i="3"/>
  <c r="M890" i="3"/>
  <c r="L890" i="3"/>
  <c r="K890" i="3"/>
  <c r="J890" i="3"/>
  <c r="I890" i="3"/>
  <c r="Y887" i="3"/>
  <c r="Y886" i="3" s="1"/>
  <c r="X887" i="3"/>
  <c r="X886" i="3" s="1"/>
  <c r="Z886" i="3"/>
  <c r="W886" i="3"/>
  <c r="Z884" i="3"/>
  <c r="Z883" i="3" s="1"/>
  <c r="Y884" i="3"/>
  <c r="Y883" i="3" s="1"/>
  <c r="X884" i="3"/>
  <c r="X883" i="3" s="1"/>
  <c r="W884" i="3"/>
  <c r="W883" i="3" s="1"/>
  <c r="Y880" i="3"/>
  <c r="Y301" i="4" s="1"/>
  <c r="X879" i="3"/>
  <c r="X875" i="3" s="1"/>
  <c r="AK876" i="3"/>
  <c r="AJ876" i="3"/>
  <c r="AI876" i="3"/>
  <c r="AH876" i="3"/>
  <c r="AG876" i="3"/>
  <c r="AF876" i="3"/>
  <c r="AE876" i="3"/>
  <c r="AD876" i="3"/>
  <c r="AC876" i="3"/>
  <c r="AB876" i="3"/>
  <c r="AA876" i="3"/>
  <c r="Z876" i="3"/>
  <c r="Y876" i="3"/>
  <c r="W876" i="3"/>
  <c r="AK875" i="3"/>
  <c r="AJ875" i="3"/>
  <c r="AI875" i="3"/>
  <c r="AH875" i="3"/>
  <c r="AG875" i="3"/>
  <c r="AF875" i="3"/>
  <c r="AE875" i="3"/>
  <c r="AD875" i="3"/>
  <c r="AC875" i="3"/>
  <c r="AB875" i="3"/>
  <c r="AA875" i="3"/>
  <c r="Z875" i="3"/>
  <c r="W875" i="3"/>
  <c r="Y874" i="3"/>
  <c r="X872" i="3"/>
  <c r="AK866" i="3"/>
  <c r="AJ866" i="3"/>
  <c r="AI866" i="3"/>
  <c r="AH866" i="3"/>
  <c r="AG866" i="3"/>
  <c r="AF866" i="3"/>
  <c r="AE866" i="3"/>
  <c r="AD866" i="3"/>
  <c r="AC866" i="3"/>
  <c r="AB866" i="3"/>
  <c r="AA866" i="3"/>
  <c r="Z866" i="3"/>
  <c r="Y866" i="3"/>
  <c r="X866" i="3"/>
  <c r="W866" i="3"/>
  <c r="AK865" i="3"/>
  <c r="AJ865" i="3"/>
  <c r="AI865" i="3"/>
  <c r="AH865" i="3"/>
  <c r="AG865" i="3"/>
  <c r="AF865" i="3"/>
  <c r="AE865" i="3"/>
  <c r="AD865" i="3"/>
  <c r="AC865" i="3"/>
  <c r="AB865" i="3"/>
  <c r="AA865" i="3"/>
  <c r="Z865" i="3"/>
  <c r="Y865" i="3"/>
  <c r="W865" i="3"/>
  <c r="AK856" i="3"/>
  <c r="AJ856" i="3"/>
  <c r="AI856" i="3"/>
  <c r="AH856" i="3"/>
  <c r="AG856" i="3"/>
  <c r="AF856" i="3"/>
  <c r="AE856" i="3"/>
  <c r="AD856" i="3"/>
  <c r="AC856" i="3"/>
  <c r="AB856" i="3"/>
  <c r="AA856" i="3"/>
  <c r="Z856" i="3"/>
  <c r="Y856" i="3"/>
  <c r="X856" i="3"/>
  <c r="W856" i="3"/>
  <c r="AK855" i="3"/>
  <c r="AJ855" i="3"/>
  <c r="AI855" i="3"/>
  <c r="AH855" i="3"/>
  <c r="AG855" i="3"/>
  <c r="AF855" i="3"/>
  <c r="AE855" i="3"/>
  <c r="AD855" i="3"/>
  <c r="AC855" i="3"/>
  <c r="AB855" i="3"/>
  <c r="AA855" i="3"/>
  <c r="Z855" i="3"/>
  <c r="Y855" i="3"/>
  <c r="X855" i="3"/>
  <c r="W855" i="3"/>
  <c r="AK846" i="3"/>
  <c r="AJ846" i="3"/>
  <c r="AI846" i="3"/>
  <c r="AH846" i="3"/>
  <c r="AG846" i="3"/>
  <c r="AF846" i="3"/>
  <c r="AE846" i="3"/>
  <c r="AD846" i="3"/>
  <c r="AC846" i="3"/>
  <c r="AB846" i="3"/>
  <c r="AA846" i="3"/>
  <c r="Z846" i="3"/>
  <c r="Y846" i="3"/>
  <c r="X846" i="3"/>
  <c r="W846" i="3"/>
  <c r="AK845" i="3"/>
  <c r="AJ845" i="3"/>
  <c r="AI845" i="3"/>
  <c r="AH845" i="3"/>
  <c r="AG845" i="3"/>
  <c r="AF845" i="3"/>
  <c r="AE845" i="3"/>
  <c r="AD845" i="3"/>
  <c r="AC845" i="3"/>
  <c r="AB845" i="3"/>
  <c r="AA845" i="3"/>
  <c r="Z845" i="3"/>
  <c r="Y845" i="3"/>
  <c r="X845" i="3"/>
  <c r="W845" i="3"/>
  <c r="AK832" i="3"/>
  <c r="AK515" i="4" s="1"/>
  <c r="AJ832" i="3"/>
  <c r="AJ515" i="4" s="1"/>
  <c r="AI832" i="3"/>
  <c r="AI515" i="4" s="1"/>
  <c r="AH832" i="3"/>
  <c r="AH515" i="4" s="1"/>
  <c r="AG832" i="3"/>
  <c r="AG515" i="4" s="1"/>
  <c r="AF832" i="3"/>
  <c r="AF515" i="4" s="1"/>
  <c r="AE832" i="3"/>
  <c r="AE515" i="4" s="1"/>
  <c r="AD832" i="3"/>
  <c r="AD515" i="4" s="1"/>
  <c r="AC832" i="3"/>
  <c r="AC515" i="4" s="1"/>
  <c r="AB832" i="3"/>
  <c r="AB515" i="4" s="1"/>
  <c r="AA832" i="3"/>
  <c r="AA515" i="4" s="1"/>
  <c r="Z832" i="3"/>
  <c r="Z515" i="4" s="1"/>
  <c r="Y832" i="3"/>
  <c r="Y515" i="4" s="1"/>
  <c r="X832" i="3"/>
  <c r="X515" i="4" s="1"/>
  <c r="W832" i="3"/>
  <c r="W515" i="4" s="1"/>
  <c r="V832" i="3"/>
  <c r="V515" i="4" s="1"/>
  <c r="U832" i="3"/>
  <c r="U515" i="4" s="1"/>
  <c r="T832" i="3"/>
  <c r="T515" i="4" s="1"/>
  <c r="S832" i="3"/>
  <c r="S515" i="4" s="1"/>
  <c r="R832" i="3"/>
  <c r="R515" i="4" s="1"/>
  <c r="Q832" i="3"/>
  <c r="Q515" i="4" s="1"/>
  <c r="P832" i="3"/>
  <c r="AK831" i="3"/>
  <c r="AK517" i="4" s="1"/>
  <c r="AJ831" i="3"/>
  <c r="AJ517" i="4" s="1"/>
  <c r="AI831" i="3"/>
  <c r="AI517" i="4" s="1"/>
  <c r="AH831" i="3"/>
  <c r="AH517" i="4" s="1"/>
  <c r="AG831" i="3"/>
  <c r="AG517" i="4" s="1"/>
  <c r="AF831" i="3"/>
  <c r="AF517" i="4" s="1"/>
  <c r="AE831" i="3"/>
  <c r="AE517" i="4" s="1"/>
  <c r="AD831" i="3"/>
  <c r="AD517" i="4" s="1"/>
  <c r="AC831" i="3"/>
  <c r="AC517" i="4" s="1"/>
  <c r="AB831" i="3"/>
  <c r="AB517" i="4" s="1"/>
  <c r="AA831" i="3"/>
  <c r="AA517" i="4" s="1"/>
  <c r="Z831" i="3"/>
  <c r="Z517" i="4" s="1"/>
  <c r="Y831" i="3"/>
  <c r="Y517" i="4" s="1"/>
  <c r="Y516" i="4" s="1"/>
  <c r="X831" i="3"/>
  <c r="X517" i="4" s="1"/>
  <c r="X516" i="4" s="1"/>
  <c r="W831" i="3"/>
  <c r="W517" i="4" s="1"/>
  <c r="W516" i="4" s="1"/>
  <c r="V831" i="3"/>
  <c r="V517" i="4" s="1"/>
  <c r="V516" i="4" s="1"/>
  <c r="U831" i="3"/>
  <c r="U517" i="4" s="1"/>
  <c r="U516" i="4" s="1"/>
  <c r="T831" i="3"/>
  <c r="T517" i="4" s="1"/>
  <c r="T516" i="4" s="1"/>
  <c r="S831" i="3"/>
  <c r="S517" i="4" s="1"/>
  <c r="S516" i="4" s="1"/>
  <c r="R831" i="3"/>
  <c r="R517" i="4" s="1"/>
  <c r="R516" i="4" s="1"/>
  <c r="Q831" i="3"/>
  <c r="Q517" i="4" s="1"/>
  <c r="Q516" i="4" s="1"/>
  <c r="P831" i="3"/>
  <c r="AK825" i="3"/>
  <c r="AK512" i="4" s="1"/>
  <c r="AJ825" i="3"/>
  <c r="AJ512" i="4" s="1"/>
  <c r="AI825" i="3"/>
  <c r="AI512" i="4" s="1"/>
  <c r="AH825" i="3"/>
  <c r="AH512" i="4" s="1"/>
  <c r="AG825" i="3"/>
  <c r="AG512" i="4" s="1"/>
  <c r="AF825" i="3"/>
  <c r="AF512" i="4" s="1"/>
  <c r="AE825" i="3"/>
  <c r="AE512" i="4" s="1"/>
  <c r="AD825" i="3"/>
  <c r="AD512" i="4" s="1"/>
  <c r="AC825" i="3"/>
  <c r="AC512" i="4" s="1"/>
  <c r="AB825" i="3"/>
  <c r="AB512" i="4" s="1"/>
  <c r="AA825" i="3"/>
  <c r="AA512" i="4" s="1"/>
  <c r="Z825" i="3"/>
  <c r="Z512" i="4" s="1"/>
  <c r="Y825" i="3"/>
  <c r="Y512" i="4" s="1"/>
  <c r="X825" i="3"/>
  <c r="X512" i="4" s="1"/>
  <c r="W825" i="3"/>
  <c r="W512" i="4" s="1"/>
  <c r="V825" i="3"/>
  <c r="V512" i="4" s="1"/>
  <c r="U825" i="3"/>
  <c r="U512" i="4" s="1"/>
  <c r="T825" i="3"/>
  <c r="T512" i="4" s="1"/>
  <c r="S825" i="3"/>
  <c r="S512" i="4" s="1"/>
  <c r="R825" i="3"/>
  <c r="R512" i="4" s="1"/>
  <c r="Q825" i="3"/>
  <c r="Q512" i="4" s="1"/>
  <c r="P825" i="3"/>
  <c r="AK822" i="3"/>
  <c r="AK513" i="4" s="1"/>
  <c r="AJ822" i="3"/>
  <c r="AJ513" i="4" s="1"/>
  <c r="AI822" i="3"/>
  <c r="AI513" i="4" s="1"/>
  <c r="AH822" i="3"/>
  <c r="AH513" i="4" s="1"/>
  <c r="AG822" i="3"/>
  <c r="AG513" i="4" s="1"/>
  <c r="AF822" i="3"/>
  <c r="AF513" i="4" s="1"/>
  <c r="AE822" i="3"/>
  <c r="AE513" i="4" s="1"/>
  <c r="AD822" i="3"/>
  <c r="AD513" i="4" s="1"/>
  <c r="AC822" i="3"/>
  <c r="AC513" i="4" s="1"/>
  <c r="AB822" i="3"/>
  <c r="AB513" i="4" s="1"/>
  <c r="AA822" i="3"/>
  <c r="AA513" i="4" s="1"/>
  <c r="Z822" i="3"/>
  <c r="Z513" i="4" s="1"/>
  <c r="Y822" i="3"/>
  <c r="Y513" i="4" s="1"/>
  <c r="X822" i="3"/>
  <c r="X513" i="4" s="1"/>
  <c r="W822" i="3"/>
  <c r="W513" i="4" s="1"/>
  <c r="V822" i="3"/>
  <c r="V513" i="4" s="1"/>
  <c r="U822" i="3"/>
  <c r="U513" i="4" s="1"/>
  <c r="T822" i="3"/>
  <c r="T513" i="4" s="1"/>
  <c r="S822" i="3"/>
  <c r="S513" i="4" s="1"/>
  <c r="R822" i="3"/>
  <c r="R513" i="4" s="1"/>
  <c r="Q822" i="3"/>
  <c r="Q513" i="4" s="1"/>
  <c r="P822" i="3"/>
  <c r="AK821" i="3"/>
  <c r="AJ821" i="3"/>
  <c r="AI821" i="3"/>
  <c r="AH821" i="3"/>
  <c r="AG821" i="3"/>
  <c r="AF821" i="3"/>
  <c r="AE821" i="3"/>
  <c r="AD821" i="3"/>
  <c r="AC821" i="3"/>
  <c r="AB821" i="3"/>
  <c r="AA821" i="3"/>
  <c r="Z821" i="3"/>
  <c r="Y821" i="3"/>
  <c r="X821" i="3"/>
  <c r="W821" i="3"/>
  <c r="V821" i="3"/>
  <c r="U821" i="3"/>
  <c r="T821" i="3"/>
  <c r="S821" i="3"/>
  <c r="R821" i="3"/>
  <c r="Q821" i="3"/>
  <c r="P821" i="3"/>
  <c r="AK687" i="3"/>
  <c r="AJ687" i="3"/>
  <c r="AI687" i="3"/>
  <c r="AH687" i="3"/>
  <c r="AG687" i="3"/>
  <c r="AF687" i="3"/>
  <c r="AE687" i="3"/>
  <c r="AD687" i="3"/>
  <c r="AC687" i="3"/>
  <c r="AB687" i="3"/>
  <c r="AA687" i="3"/>
  <c r="Z687" i="3"/>
  <c r="Y687" i="3"/>
  <c r="X687" i="3"/>
  <c r="W687" i="3"/>
  <c r="V687" i="3"/>
  <c r="U687" i="3"/>
  <c r="T687" i="3"/>
  <c r="S687" i="3"/>
  <c r="R687" i="3"/>
  <c r="Q687" i="3"/>
  <c r="AK678" i="3"/>
  <c r="AJ678" i="3"/>
  <c r="AI678" i="3"/>
  <c r="AH678" i="3"/>
  <c r="AG678" i="3"/>
  <c r="AF678" i="3"/>
  <c r="AE678" i="3"/>
  <c r="AD678" i="3"/>
  <c r="AC678" i="3"/>
  <c r="AB678" i="3"/>
  <c r="AA678" i="3"/>
  <c r="Z678" i="3"/>
  <c r="Y678" i="3"/>
  <c r="X678" i="3"/>
  <c r="W678" i="3"/>
  <c r="V678" i="3"/>
  <c r="U678" i="3"/>
  <c r="T678" i="3"/>
  <c r="S678" i="3"/>
  <c r="R678" i="3"/>
  <c r="Q678" i="3"/>
  <c r="AK669" i="3"/>
  <c r="AJ669" i="3"/>
  <c r="AI669" i="3"/>
  <c r="AH669" i="3"/>
  <c r="AG669" i="3"/>
  <c r="AF669" i="3"/>
  <c r="AE669" i="3"/>
  <c r="AD669" i="3"/>
  <c r="AC669" i="3"/>
  <c r="AB669" i="3"/>
  <c r="AA669" i="3"/>
  <c r="Z669" i="3"/>
  <c r="Y669" i="3"/>
  <c r="X669" i="3"/>
  <c r="W669" i="3"/>
  <c r="V669" i="3"/>
  <c r="U669" i="3"/>
  <c r="T669" i="3"/>
  <c r="S669" i="3"/>
  <c r="R669" i="3"/>
  <c r="Q669" i="3"/>
  <c r="AK660" i="3"/>
  <c r="AJ660" i="3"/>
  <c r="AI660" i="3"/>
  <c r="AH660" i="3"/>
  <c r="AG660" i="3"/>
  <c r="AF660" i="3"/>
  <c r="AE660" i="3"/>
  <c r="AD660" i="3"/>
  <c r="AC660" i="3"/>
  <c r="AB660" i="3"/>
  <c r="AA660" i="3"/>
  <c r="Y660" i="3"/>
  <c r="X660" i="3"/>
  <c r="W660" i="3"/>
  <c r="V660" i="3"/>
  <c r="U660" i="3"/>
  <c r="T660" i="3"/>
  <c r="S660" i="3"/>
  <c r="R660" i="3"/>
  <c r="Q660" i="3"/>
  <c r="X558" i="3"/>
  <c r="X421" i="4" s="1"/>
  <c r="W558" i="3"/>
  <c r="W421" i="4" s="1"/>
  <c r="V558" i="3"/>
  <c r="V421" i="4" s="1"/>
  <c r="U558" i="3"/>
  <c r="U421" i="4" s="1"/>
  <c r="T558" i="3"/>
  <c r="T421" i="4" s="1"/>
  <c r="S558" i="3"/>
  <c r="S421" i="4" s="1"/>
  <c r="R558" i="3"/>
  <c r="R421" i="4" s="1"/>
  <c r="Q558" i="3"/>
  <c r="Q421" i="4" s="1"/>
  <c r="P558" i="3"/>
  <c r="P421" i="4" s="1"/>
  <c r="O558" i="3"/>
  <c r="O421" i="4" s="1"/>
  <c r="N558" i="3"/>
  <c r="N421" i="4" s="1"/>
  <c r="M558" i="3"/>
  <c r="M421" i="4" s="1"/>
  <c r="L558" i="3"/>
  <c r="L421" i="4" s="1"/>
  <c r="K558" i="3"/>
  <c r="K421" i="4" s="1"/>
  <c r="J558" i="3"/>
  <c r="J421" i="4" s="1"/>
  <c r="I558" i="3"/>
  <c r="X546" i="3"/>
  <c r="W546" i="3"/>
  <c r="W401" i="4" s="1"/>
  <c r="V546" i="3"/>
  <c r="V401" i="4" s="1"/>
  <c r="U546" i="3"/>
  <c r="U401" i="4" s="1"/>
  <c r="T546" i="3"/>
  <c r="T401" i="4" s="1"/>
  <c r="S546" i="3"/>
  <c r="S401" i="4" s="1"/>
  <c r="R546" i="3"/>
  <c r="R401" i="4" s="1"/>
  <c r="Q546" i="3"/>
  <c r="P546" i="3"/>
  <c r="P401" i="4" s="1"/>
  <c r="O546" i="3"/>
  <c r="O401" i="4" s="1"/>
  <c r="N546" i="3"/>
  <c r="N401" i="4" s="1"/>
  <c r="M546" i="3"/>
  <c r="M401" i="4" s="1"/>
  <c r="L546" i="3"/>
  <c r="L401" i="4" s="1"/>
  <c r="K546" i="3"/>
  <c r="K401" i="4" s="1"/>
  <c r="J546" i="3"/>
  <c r="J401" i="4" s="1"/>
  <c r="I546" i="3"/>
  <c r="X534" i="3"/>
  <c r="W534" i="3"/>
  <c r="V534" i="3"/>
  <c r="U534" i="3"/>
  <c r="T534" i="3"/>
  <c r="S534" i="3"/>
  <c r="R534" i="3"/>
  <c r="Q534" i="3"/>
  <c r="P534" i="3"/>
  <c r="P407" i="4" s="1"/>
  <c r="O534" i="3"/>
  <c r="O407" i="4" s="1"/>
  <c r="N534" i="3"/>
  <c r="N407" i="4" s="1"/>
  <c r="M534" i="3"/>
  <c r="M407" i="4" s="1"/>
  <c r="L534" i="3"/>
  <c r="L407" i="4" s="1"/>
  <c r="K534" i="3"/>
  <c r="K407" i="4" s="1"/>
  <c r="J534" i="3"/>
  <c r="J407" i="4" s="1"/>
  <c r="I534" i="3"/>
  <c r="I407" i="4" s="1"/>
  <c r="X522" i="3"/>
  <c r="W522" i="3"/>
  <c r="V522" i="3"/>
  <c r="U522" i="3"/>
  <c r="T522" i="3"/>
  <c r="S522" i="3"/>
  <c r="R522" i="3"/>
  <c r="Q522" i="3"/>
  <c r="P522" i="3"/>
  <c r="O522" i="3"/>
  <c r="N522" i="3"/>
  <c r="M522" i="3"/>
  <c r="L522" i="3"/>
  <c r="K522" i="3"/>
  <c r="J522" i="3"/>
  <c r="I522" i="3"/>
  <c r="AK405" i="3"/>
  <c r="AJ405" i="3"/>
  <c r="AI405" i="3"/>
  <c r="AH405" i="3"/>
  <c r="AG405" i="3"/>
  <c r="AF405" i="3"/>
  <c r="AE405" i="3"/>
  <c r="AD405" i="3"/>
  <c r="AC405" i="3"/>
  <c r="AB405" i="3"/>
  <c r="AA405" i="3"/>
  <c r="Z405" i="3"/>
  <c r="Y405" i="3"/>
  <c r="X405" i="3"/>
  <c r="W405" i="3"/>
  <c r="V405" i="3"/>
  <c r="U405" i="3"/>
  <c r="T405" i="3"/>
  <c r="S405" i="3"/>
  <c r="R405" i="3"/>
  <c r="Q405" i="3"/>
  <c r="P405" i="3"/>
  <c r="O405" i="3"/>
  <c r="N405" i="3"/>
  <c r="M405" i="3"/>
  <c r="L405" i="3"/>
  <c r="K405" i="3"/>
  <c r="J405" i="3"/>
  <c r="I405" i="3"/>
  <c r="AK392" i="3"/>
  <c r="AJ392" i="3"/>
  <c r="AI392" i="3"/>
  <c r="AH392" i="3"/>
  <c r="AG392" i="3"/>
  <c r="AF392" i="3"/>
  <c r="AE392" i="3"/>
  <c r="AD392" i="3"/>
  <c r="AC392" i="3"/>
  <c r="AB392" i="3"/>
  <c r="AA392" i="3"/>
  <c r="Z392" i="3"/>
  <c r="Y392" i="3"/>
  <c r="X392" i="3"/>
  <c r="W392" i="3"/>
  <c r="V392" i="3"/>
  <c r="U392" i="3"/>
  <c r="T392" i="3"/>
  <c r="S392" i="3"/>
  <c r="R392" i="3"/>
  <c r="Q392" i="3"/>
  <c r="P392" i="3"/>
  <c r="O392" i="3"/>
  <c r="N392" i="3"/>
  <c r="M392" i="3"/>
  <c r="L392" i="3"/>
  <c r="K392" i="3"/>
  <c r="J392" i="3"/>
  <c r="I392" i="3"/>
  <c r="AK369" i="3"/>
  <c r="AJ369" i="3"/>
  <c r="AI369" i="3"/>
  <c r="AH369" i="3"/>
  <c r="AG369" i="3"/>
  <c r="AF369" i="3"/>
  <c r="AE369" i="3"/>
  <c r="AD369" i="3"/>
  <c r="AC369" i="3"/>
  <c r="AB369" i="3"/>
  <c r="AA369" i="3"/>
  <c r="Z369" i="3"/>
  <c r="Y369" i="3"/>
  <c r="X369" i="3"/>
  <c r="W369" i="3"/>
  <c r="V369" i="3"/>
  <c r="U369" i="3"/>
  <c r="T369" i="3"/>
  <c r="S369" i="3"/>
  <c r="R369" i="3"/>
  <c r="Q369" i="3"/>
  <c r="P369" i="3"/>
  <c r="O369" i="3"/>
  <c r="N369" i="3"/>
  <c r="M369" i="3"/>
  <c r="L369" i="3"/>
  <c r="K369" i="3"/>
  <c r="J369" i="3"/>
  <c r="I369" i="3"/>
  <c r="X227" i="3"/>
  <c r="Y227" i="3" s="1"/>
  <c r="Z227" i="3" s="1"/>
  <c r="AA227" i="3" s="1"/>
  <c r="AB227" i="3" s="1"/>
  <c r="AC227" i="3" s="1"/>
  <c r="AD227" i="3" s="1"/>
  <c r="AE227" i="3" s="1"/>
  <c r="AF227" i="3" s="1"/>
  <c r="AG227" i="3" s="1"/>
  <c r="AH227" i="3" s="1"/>
  <c r="AI227" i="3" s="1"/>
  <c r="AJ227" i="3" s="1"/>
  <c r="AK227" i="3" s="1"/>
  <c r="V227" i="3"/>
  <c r="U227" i="3" s="1"/>
  <c r="T227" i="3" s="1"/>
  <c r="S227" i="3" s="1"/>
  <c r="R227" i="3" s="1"/>
  <c r="Q227" i="3" s="1"/>
  <c r="P227" i="3" s="1"/>
  <c r="O227" i="3" s="1"/>
  <c r="N227" i="3" s="1"/>
  <c r="M227" i="3" s="1"/>
  <c r="L227" i="3" s="1"/>
  <c r="K227" i="3" s="1"/>
  <c r="J227" i="3" s="1"/>
  <c r="I227" i="3" s="1"/>
  <c r="X226" i="3"/>
  <c r="Y226" i="3" s="1"/>
  <c r="Z226" i="3" s="1"/>
  <c r="AA226" i="3" s="1"/>
  <c r="AB226" i="3" s="1"/>
  <c r="AC226" i="3" s="1"/>
  <c r="AD226" i="3" s="1"/>
  <c r="AE226" i="3" s="1"/>
  <c r="AF226" i="3" s="1"/>
  <c r="AG226" i="3" s="1"/>
  <c r="AH226" i="3" s="1"/>
  <c r="AI226" i="3" s="1"/>
  <c r="AJ226" i="3" s="1"/>
  <c r="AK226" i="3" s="1"/>
  <c r="V226" i="3"/>
  <c r="U226" i="3" s="1"/>
  <c r="T226" i="3" s="1"/>
  <c r="S226" i="3" s="1"/>
  <c r="R226" i="3" s="1"/>
  <c r="Q226" i="3" s="1"/>
  <c r="P226" i="3" s="1"/>
  <c r="O226" i="3" s="1"/>
  <c r="N226" i="3" s="1"/>
  <c r="M226" i="3" s="1"/>
  <c r="L226" i="3" s="1"/>
  <c r="K226" i="3" s="1"/>
  <c r="J226" i="3" s="1"/>
  <c r="I226" i="3" s="1"/>
  <c r="X225" i="3"/>
  <c r="Y225" i="3" s="1"/>
  <c r="Z225" i="3" s="1"/>
  <c r="AA225" i="3" s="1"/>
  <c r="AB225" i="3" s="1"/>
  <c r="AC225" i="3" s="1"/>
  <c r="AD225" i="3" s="1"/>
  <c r="AE225" i="3" s="1"/>
  <c r="AF225" i="3" s="1"/>
  <c r="AG225" i="3" s="1"/>
  <c r="AH225" i="3" s="1"/>
  <c r="AI225" i="3" s="1"/>
  <c r="AJ225" i="3" s="1"/>
  <c r="AK225" i="3" s="1"/>
  <c r="V225" i="3"/>
  <c r="U225" i="3" s="1"/>
  <c r="T225" i="3" s="1"/>
  <c r="S225" i="3" s="1"/>
  <c r="R225" i="3" s="1"/>
  <c r="Q225" i="3" s="1"/>
  <c r="P225" i="3" s="1"/>
  <c r="O225" i="3" s="1"/>
  <c r="N225" i="3" s="1"/>
  <c r="M225" i="3" s="1"/>
  <c r="L225" i="3" s="1"/>
  <c r="K225" i="3" s="1"/>
  <c r="J225" i="3" s="1"/>
  <c r="I225" i="3" s="1"/>
  <c r="X224" i="3"/>
  <c r="Y224" i="3" s="1"/>
  <c r="Z224" i="3" s="1"/>
  <c r="AA224" i="3" s="1"/>
  <c r="AB224" i="3" s="1"/>
  <c r="AC224" i="3" s="1"/>
  <c r="AD224" i="3" s="1"/>
  <c r="AE224" i="3" s="1"/>
  <c r="AF224" i="3" s="1"/>
  <c r="AG224" i="3" s="1"/>
  <c r="AH224" i="3" s="1"/>
  <c r="AI224" i="3" s="1"/>
  <c r="AJ224" i="3" s="1"/>
  <c r="AK224" i="3" s="1"/>
  <c r="V224" i="3"/>
  <c r="U224" i="3" s="1"/>
  <c r="T224" i="3" s="1"/>
  <c r="S224" i="3" s="1"/>
  <c r="R224" i="3" s="1"/>
  <c r="Q224" i="3" s="1"/>
  <c r="P224" i="3" s="1"/>
  <c r="O224" i="3" s="1"/>
  <c r="N224" i="3" s="1"/>
  <c r="M224" i="3" s="1"/>
  <c r="L224" i="3" s="1"/>
  <c r="K224" i="3" s="1"/>
  <c r="J224" i="3" s="1"/>
  <c r="I224" i="3" s="1"/>
  <c r="X223" i="3"/>
  <c r="Y223" i="3" s="1"/>
  <c r="V223" i="3"/>
  <c r="U223" i="3" s="1"/>
  <c r="W222" i="3"/>
  <c r="X221" i="3"/>
  <c r="Y221" i="3" s="1"/>
  <c r="Z221" i="3" s="1"/>
  <c r="AA221" i="3" s="1"/>
  <c r="AB221" i="3" s="1"/>
  <c r="AC221" i="3" s="1"/>
  <c r="AD221" i="3" s="1"/>
  <c r="AE221" i="3" s="1"/>
  <c r="AF221" i="3" s="1"/>
  <c r="AG221" i="3" s="1"/>
  <c r="AH221" i="3" s="1"/>
  <c r="AI221" i="3" s="1"/>
  <c r="AJ221" i="3" s="1"/>
  <c r="AK221" i="3" s="1"/>
  <c r="V221" i="3"/>
  <c r="U221" i="3" s="1"/>
  <c r="T221" i="3" s="1"/>
  <c r="S221" i="3" s="1"/>
  <c r="R221" i="3" s="1"/>
  <c r="Q221" i="3" s="1"/>
  <c r="P221" i="3" s="1"/>
  <c r="O221" i="3" s="1"/>
  <c r="N221" i="3" s="1"/>
  <c r="M221" i="3" s="1"/>
  <c r="L221" i="3" s="1"/>
  <c r="K221" i="3" s="1"/>
  <c r="J221" i="3" s="1"/>
  <c r="I221" i="3" s="1"/>
  <c r="X220" i="3"/>
  <c r="Y220" i="3" s="1"/>
  <c r="Z220" i="3" s="1"/>
  <c r="AA220" i="3" s="1"/>
  <c r="AB220" i="3" s="1"/>
  <c r="AC220" i="3" s="1"/>
  <c r="AD220" i="3" s="1"/>
  <c r="AE220" i="3" s="1"/>
  <c r="AF220" i="3" s="1"/>
  <c r="AG220" i="3" s="1"/>
  <c r="AH220" i="3" s="1"/>
  <c r="AI220" i="3" s="1"/>
  <c r="AJ220" i="3" s="1"/>
  <c r="AK220" i="3" s="1"/>
  <c r="V220" i="3"/>
  <c r="U220" i="3" s="1"/>
  <c r="T220" i="3" s="1"/>
  <c r="S220" i="3" s="1"/>
  <c r="R220" i="3" s="1"/>
  <c r="Q220" i="3" s="1"/>
  <c r="P220" i="3" s="1"/>
  <c r="O220" i="3" s="1"/>
  <c r="N220" i="3" s="1"/>
  <c r="M220" i="3" s="1"/>
  <c r="L220" i="3" s="1"/>
  <c r="K220" i="3" s="1"/>
  <c r="J220" i="3" s="1"/>
  <c r="I220" i="3" s="1"/>
  <c r="X219" i="3"/>
  <c r="Y219" i="3" s="1"/>
  <c r="Z219" i="3" s="1"/>
  <c r="AA219" i="3" s="1"/>
  <c r="AB219" i="3" s="1"/>
  <c r="AC219" i="3" s="1"/>
  <c r="AD219" i="3" s="1"/>
  <c r="AE219" i="3" s="1"/>
  <c r="AF219" i="3" s="1"/>
  <c r="AG219" i="3" s="1"/>
  <c r="AH219" i="3" s="1"/>
  <c r="AI219" i="3" s="1"/>
  <c r="AJ219" i="3" s="1"/>
  <c r="AK219" i="3" s="1"/>
  <c r="V219" i="3"/>
  <c r="U219" i="3" s="1"/>
  <c r="T219" i="3" s="1"/>
  <c r="S219" i="3" s="1"/>
  <c r="R219" i="3" s="1"/>
  <c r="Q219" i="3" s="1"/>
  <c r="P219" i="3" s="1"/>
  <c r="O219" i="3" s="1"/>
  <c r="N219" i="3" s="1"/>
  <c r="M219" i="3" s="1"/>
  <c r="L219" i="3" s="1"/>
  <c r="K219" i="3" s="1"/>
  <c r="J219" i="3" s="1"/>
  <c r="I219" i="3" s="1"/>
  <c r="X218" i="3"/>
  <c r="Y218" i="3" s="1"/>
  <c r="Z218" i="3" s="1"/>
  <c r="AA218" i="3" s="1"/>
  <c r="AB218" i="3" s="1"/>
  <c r="AC218" i="3" s="1"/>
  <c r="AD218" i="3" s="1"/>
  <c r="AE218" i="3" s="1"/>
  <c r="AF218" i="3" s="1"/>
  <c r="AG218" i="3" s="1"/>
  <c r="AH218" i="3" s="1"/>
  <c r="AI218" i="3" s="1"/>
  <c r="AJ218" i="3" s="1"/>
  <c r="AK218" i="3" s="1"/>
  <c r="V218" i="3"/>
  <c r="U218" i="3" s="1"/>
  <c r="T218" i="3" s="1"/>
  <c r="S218" i="3" s="1"/>
  <c r="R218" i="3" s="1"/>
  <c r="Q218" i="3" s="1"/>
  <c r="P218" i="3" s="1"/>
  <c r="O218" i="3" s="1"/>
  <c r="N218" i="3" s="1"/>
  <c r="M218" i="3" s="1"/>
  <c r="L218" i="3" s="1"/>
  <c r="K218" i="3" s="1"/>
  <c r="J218" i="3" s="1"/>
  <c r="I218" i="3" s="1"/>
  <c r="X217" i="3"/>
  <c r="Y217" i="3" s="1"/>
  <c r="Z217" i="3" s="1"/>
  <c r="AA217" i="3" s="1"/>
  <c r="AB217" i="3" s="1"/>
  <c r="AC217" i="3" s="1"/>
  <c r="AD217" i="3" s="1"/>
  <c r="AE217" i="3" s="1"/>
  <c r="AF217" i="3" s="1"/>
  <c r="AG217" i="3" s="1"/>
  <c r="AH217" i="3" s="1"/>
  <c r="AI217" i="3" s="1"/>
  <c r="AJ217" i="3" s="1"/>
  <c r="AK217" i="3" s="1"/>
  <c r="V217" i="3"/>
  <c r="U217" i="3" s="1"/>
  <c r="T217" i="3" s="1"/>
  <c r="S217" i="3" s="1"/>
  <c r="R217" i="3" s="1"/>
  <c r="Q217" i="3" s="1"/>
  <c r="P217" i="3" s="1"/>
  <c r="O217" i="3" s="1"/>
  <c r="N217" i="3" s="1"/>
  <c r="M217" i="3" s="1"/>
  <c r="L217" i="3" s="1"/>
  <c r="K217" i="3" s="1"/>
  <c r="J217" i="3" s="1"/>
  <c r="I217" i="3" s="1"/>
  <c r="X216" i="3"/>
  <c r="Y216" i="3" s="1"/>
  <c r="Z216" i="3" s="1"/>
  <c r="AA216" i="3" s="1"/>
  <c r="AB216" i="3" s="1"/>
  <c r="AC216" i="3" s="1"/>
  <c r="AD216" i="3" s="1"/>
  <c r="AE216" i="3" s="1"/>
  <c r="AF216" i="3" s="1"/>
  <c r="AG216" i="3" s="1"/>
  <c r="AH216" i="3" s="1"/>
  <c r="AI216" i="3" s="1"/>
  <c r="AJ216" i="3" s="1"/>
  <c r="AK216" i="3" s="1"/>
  <c r="V216" i="3"/>
  <c r="U216" i="3" s="1"/>
  <c r="T216" i="3" s="1"/>
  <c r="S216" i="3" s="1"/>
  <c r="R216" i="3" s="1"/>
  <c r="Q216" i="3" s="1"/>
  <c r="P216" i="3" s="1"/>
  <c r="O216" i="3" s="1"/>
  <c r="N216" i="3" s="1"/>
  <c r="M216" i="3" s="1"/>
  <c r="L216" i="3" s="1"/>
  <c r="K216" i="3" s="1"/>
  <c r="J216" i="3" s="1"/>
  <c r="I216" i="3" s="1"/>
  <c r="X215" i="3"/>
  <c r="Y215" i="3" s="1"/>
  <c r="Z215" i="3" s="1"/>
  <c r="AA215" i="3" s="1"/>
  <c r="AB215" i="3" s="1"/>
  <c r="AC215" i="3" s="1"/>
  <c r="AD215" i="3" s="1"/>
  <c r="AE215" i="3" s="1"/>
  <c r="AF215" i="3" s="1"/>
  <c r="AG215" i="3" s="1"/>
  <c r="AH215" i="3" s="1"/>
  <c r="AI215" i="3" s="1"/>
  <c r="AJ215" i="3" s="1"/>
  <c r="AK215" i="3" s="1"/>
  <c r="V215" i="3"/>
  <c r="U215" i="3" s="1"/>
  <c r="T215" i="3" s="1"/>
  <c r="S215" i="3" s="1"/>
  <c r="R215" i="3" s="1"/>
  <c r="Q215" i="3" s="1"/>
  <c r="P215" i="3" s="1"/>
  <c r="O215" i="3" s="1"/>
  <c r="N215" i="3" s="1"/>
  <c r="M215" i="3" s="1"/>
  <c r="L215" i="3" s="1"/>
  <c r="K215" i="3" s="1"/>
  <c r="J215" i="3" s="1"/>
  <c r="I215" i="3" s="1"/>
  <c r="X214" i="3"/>
  <c r="Y214" i="3" s="1"/>
  <c r="Z214" i="3" s="1"/>
  <c r="AA214" i="3" s="1"/>
  <c r="AB214" i="3" s="1"/>
  <c r="AC214" i="3" s="1"/>
  <c r="AD214" i="3" s="1"/>
  <c r="AE214" i="3" s="1"/>
  <c r="AF214" i="3" s="1"/>
  <c r="AG214" i="3" s="1"/>
  <c r="AH214" i="3" s="1"/>
  <c r="AI214" i="3" s="1"/>
  <c r="AJ214" i="3" s="1"/>
  <c r="AK214" i="3" s="1"/>
  <c r="V214" i="3"/>
  <c r="U214" i="3" s="1"/>
  <c r="T214" i="3" s="1"/>
  <c r="S214" i="3" s="1"/>
  <c r="R214" i="3" s="1"/>
  <c r="Q214" i="3" s="1"/>
  <c r="P214" i="3" s="1"/>
  <c r="O214" i="3" s="1"/>
  <c r="N214" i="3" s="1"/>
  <c r="M214" i="3" s="1"/>
  <c r="L214" i="3" s="1"/>
  <c r="K214" i="3" s="1"/>
  <c r="J214" i="3" s="1"/>
  <c r="I214" i="3" s="1"/>
  <c r="X213" i="3"/>
  <c r="Y213" i="3" s="1"/>
  <c r="Z213" i="3" s="1"/>
  <c r="AA213" i="3" s="1"/>
  <c r="AB213" i="3" s="1"/>
  <c r="AC213" i="3" s="1"/>
  <c r="AD213" i="3" s="1"/>
  <c r="AE213" i="3" s="1"/>
  <c r="AF213" i="3" s="1"/>
  <c r="AG213" i="3" s="1"/>
  <c r="AH213" i="3" s="1"/>
  <c r="AI213" i="3" s="1"/>
  <c r="AJ213" i="3" s="1"/>
  <c r="AK213" i="3" s="1"/>
  <c r="V213" i="3"/>
  <c r="U213" i="3" s="1"/>
  <c r="T213" i="3" s="1"/>
  <c r="S213" i="3" s="1"/>
  <c r="R213" i="3" s="1"/>
  <c r="Q213" i="3" s="1"/>
  <c r="P213" i="3" s="1"/>
  <c r="O213" i="3" s="1"/>
  <c r="N213" i="3" s="1"/>
  <c r="M213" i="3" s="1"/>
  <c r="L213" i="3" s="1"/>
  <c r="K213" i="3" s="1"/>
  <c r="J213" i="3" s="1"/>
  <c r="I213" i="3" s="1"/>
  <c r="X212" i="3"/>
  <c r="Y212" i="3" s="1"/>
  <c r="Z212" i="3" s="1"/>
  <c r="AA212" i="3" s="1"/>
  <c r="AB212" i="3" s="1"/>
  <c r="AC212" i="3" s="1"/>
  <c r="AD212" i="3" s="1"/>
  <c r="AE212" i="3" s="1"/>
  <c r="AF212" i="3" s="1"/>
  <c r="AG212" i="3" s="1"/>
  <c r="AH212" i="3" s="1"/>
  <c r="AI212" i="3" s="1"/>
  <c r="AJ212" i="3" s="1"/>
  <c r="AK212" i="3" s="1"/>
  <c r="V212" i="3"/>
  <c r="U212" i="3" s="1"/>
  <c r="T212" i="3" s="1"/>
  <c r="S212" i="3" s="1"/>
  <c r="R212" i="3" s="1"/>
  <c r="Q212" i="3" s="1"/>
  <c r="P212" i="3" s="1"/>
  <c r="O212" i="3" s="1"/>
  <c r="N212" i="3" s="1"/>
  <c r="M212" i="3" s="1"/>
  <c r="L212" i="3" s="1"/>
  <c r="K212" i="3" s="1"/>
  <c r="J212" i="3" s="1"/>
  <c r="I212" i="3" s="1"/>
  <c r="X211" i="3"/>
  <c r="Y211" i="3" s="1"/>
  <c r="Z211" i="3" s="1"/>
  <c r="AA211" i="3" s="1"/>
  <c r="AB211" i="3" s="1"/>
  <c r="AC211" i="3" s="1"/>
  <c r="AD211" i="3" s="1"/>
  <c r="AE211" i="3" s="1"/>
  <c r="AF211" i="3" s="1"/>
  <c r="AG211" i="3" s="1"/>
  <c r="AH211" i="3" s="1"/>
  <c r="AI211" i="3" s="1"/>
  <c r="AJ211" i="3" s="1"/>
  <c r="AK211" i="3" s="1"/>
  <c r="V211" i="3"/>
  <c r="U211" i="3" s="1"/>
  <c r="T211" i="3" s="1"/>
  <c r="S211" i="3" s="1"/>
  <c r="R211" i="3" s="1"/>
  <c r="Q211" i="3" s="1"/>
  <c r="P211" i="3" s="1"/>
  <c r="O211" i="3" s="1"/>
  <c r="N211" i="3" s="1"/>
  <c r="M211" i="3" s="1"/>
  <c r="L211" i="3" s="1"/>
  <c r="K211" i="3" s="1"/>
  <c r="J211" i="3" s="1"/>
  <c r="I211" i="3" s="1"/>
  <c r="X210" i="3"/>
  <c r="Y210" i="3" s="1"/>
  <c r="V210" i="3"/>
  <c r="U210" i="3" s="1"/>
  <c r="W209" i="3"/>
  <c r="W208" i="3"/>
  <c r="X207" i="3"/>
  <c r="Y207" i="3" s="1"/>
  <c r="Z207" i="3" s="1"/>
  <c r="AA207" i="3" s="1"/>
  <c r="AB207" i="3" s="1"/>
  <c r="AC207" i="3" s="1"/>
  <c r="AD207" i="3" s="1"/>
  <c r="AE207" i="3" s="1"/>
  <c r="AF207" i="3" s="1"/>
  <c r="AG207" i="3" s="1"/>
  <c r="AH207" i="3" s="1"/>
  <c r="AI207" i="3" s="1"/>
  <c r="AJ207" i="3" s="1"/>
  <c r="AK207" i="3" s="1"/>
  <c r="V207" i="3"/>
  <c r="U207" i="3" s="1"/>
  <c r="T207" i="3" s="1"/>
  <c r="S207" i="3" s="1"/>
  <c r="R207" i="3" s="1"/>
  <c r="Q207" i="3" s="1"/>
  <c r="P207" i="3" s="1"/>
  <c r="O207" i="3" s="1"/>
  <c r="N207" i="3" s="1"/>
  <c r="M207" i="3" s="1"/>
  <c r="L207" i="3" s="1"/>
  <c r="K207" i="3" s="1"/>
  <c r="J207" i="3" s="1"/>
  <c r="I207" i="3" s="1"/>
  <c r="X206" i="3"/>
  <c r="Y206" i="3" s="1"/>
  <c r="Z206" i="3" s="1"/>
  <c r="AA206" i="3" s="1"/>
  <c r="AB206" i="3" s="1"/>
  <c r="AC206" i="3" s="1"/>
  <c r="AD206" i="3" s="1"/>
  <c r="AE206" i="3" s="1"/>
  <c r="AF206" i="3" s="1"/>
  <c r="AG206" i="3" s="1"/>
  <c r="AH206" i="3" s="1"/>
  <c r="AI206" i="3" s="1"/>
  <c r="AJ206" i="3" s="1"/>
  <c r="AK206" i="3" s="1"/>
  <c r="V206" i="3"/>
  <c r="U206" i="3" s="1"/>
  <c r="T206" i="3" s="1"/>
  <c r="S206" i="3" s="1"/>
  <c r="R206" i="3" s="1"/>
  <c r="Q206" i="3" s="1"/>
  <c r="P206" i="3" s="1"/>
  <c r="O206" i="3" s="1"/>
  <c r="N206" i="3" s="1"/>
  <c r="M206" i="3" s="1"/>
  <c r="L206" i="3" s="1"/>
  <c r="K206" i="3" s="1"/>
  <c r="J206" i="3" s="1"/>
  <c r="I206" i="3" s="1"/>
  <c r="X205" i="3"/>
  <c r="Y205" i="3" s="1"/>
  <c r="Z205" i="3" s="1"/>
  <c r="AA205" i="3" s="1"/>
  <c r="AB205" i="3" s="1"/>
  <c r="AC205" i="3" s="1"/>
  <c r="AD205" i="3" s="1"/>
  <c r="AE205" i="3" s="1"/>
  <c r="AF205" i="3" s="1"/>
  <c r="AG205" i="3" s="1"/>
  <c r="AH205" i="3" s="1"/>
  <c r="AI205" i="3" s="1"/>
  <c r="AJ205" i="3" s="1"/>
  <c r="AK205" i="3" s="1"/>
  <c r="V205" i="3"/>
  <c r="U205" i="3" s="1"/>
  <c r="T205" i="3" s="1"/>
  <c r="S205" i="3" s="1"/>
  <c r="R205" i="3" s="1"/>
  <c r="Q205" i="3" s="1"/>
  <c r="P205" i="3" s="1"/>
  <c r="O205" i="3" s="1"/>
  <c r="N205" i="3" s="1"/>
  <c r="M205" i="3" s="1"/>
  <c r="L205" i="3" s="1"/>
  <c r="K205" i="3" s="1"/>
  <c r="J205" i="3" s="1"/>
  <c r="I205" i="3" s="1"/>
  <c r="X204" i="3"/>
  <c r="Y204" i="3" s="1"/>
  <c r="Z204" i="3" s="1"/>
  <c r="AA204" i="3" s="1"/>
  <c r="AB204" i="3" s="1"/>
  <c r="AC204" i="3" s="1"/>
  <c r="AD204" i="3" s="1"/>
  <c r="AE204" i="3" s="1"/>
  <c r="AF204" i="3" s="1"/>
  <c r="AG204" i="3" s="1"/>
  <c r="AH204" i="3" s="1"/>
  <c r="AI204" i="3" s="1"/>
  <c r="AJ204" i="3" s="1"/>
  <c r="AK204" i="3" s="1"/>
  <c r="V204" i="3"/>
  <c r="U204" i="3" s="1"/>
  <c r="T204" i="3" s="1"/>
  <c r="S204" i="3" s="1"/>
  <c r="R204" i="3" s="1"/>
  <c r="Q204" i="3" s="1"/>
  <c r="P204" i="3" s="1"/>
  <c r="O204" i="3" s="1"/>
  <c r="N204" i="3" s="1"/>
  <c r="M204" i="3" s="1"/>
  <c r="L204" i="3" s="1"/>
  <c r="K204" i="3" s="1"/>
  <c r="J204" i="3" s="1"/>
  <c r="I204" i="3" s="1"/>
  <c r="X203" i="3"/>
  <c r="Y203" i="3" s="1"/>
  <c r="V203" i="3"/>
  <c r="U203" i="3" s="1"/>
  <c r="T203" i="3" s="1"/>
  <c r="S203" i="3" s="1"/>
  <c r="W202" i="3"/>
  <c r="X201" i="3"/>
  <c r="Y201" i="3" s="1"/>
  <c r="V201" i="3"/>
  <c r="U201" i="3" s="1"/>
  <c r="T201" i="3" s="1"/>
  <c r="S201" i="3" s="1"/>
  <c r="R201" i="3" s="1"/>
  <c r="Q201" i="3" s="1"/>
  <c r="P201" i="3" s="1"/>
  <c r="O201" i="3" s="1"/>
  <c r="N201" i="3" s="1"/>
  <c r="M201" i="3" s="1"/>
  <c r="L201" i="3" s="1"/>
  <c r="K201" i="3" s="1"/>
  <c r="J201" i="3" s="1"/>
  <c r="I201" i="3" s="1"/>
  <c r="X200" i="3"/>
  <c r="Y200" i="3" s="1"/>
  <c r="Z200" i="3" s="1"/>
  <c r="AA200" i="3" s="1"/>
  <c r="AB200" i="3" s="1"/>
  <c r="AC200" i="3" s="1"/>
  <c r="AD200" i="3" s="1"/>
  <c r="AE200" i="3" s="1"/>
  <c r="AF200" i="3" s="1"/>
  <c r="AG200" i="3" s="1"/>
  <c r="AH200" i="3" s="1"/>
  <c r="AI200" i="3" s="1"/>
  <c r="AJ200" i="3" s="1"/>
  <c r="AK200" i="3" s="1"/>
  <c r="V200" i="3"/>
  <c r="U200" i="3" s="1"/>
  <c r="T200" i="3" s="1"/>
  <c r="S200" i="3" s="1"/>
  <c r="R200" i="3" s="1"/>
  <c r="Q200" i="3" s="1"/>
  <c r="P200" i="3" s="1"/>
  <c r="O200" i="3" s="1"/>
  <c r="N200" i="3" s="1"/>
  <c r="M200" i="3" s="1"/>
  <c r="L200" i="3" s="1"/>
  <c r="K200" i="3" s="1"/>
  <c r="J200" i="3" s="1"/>
  <c r="I200" i="3" s="1"/>
  <c r="X199" i="3"/>
  <c r="Y199" i="3" s="1"/>
  <c r="Z199" i="3" s="1"/>
  <c r="AA199" i="3" s="1"/>
  <c r="AB199" i="3" s="1"/>
  <c r="AC199" i="3" s="1"/>
  <c r="AD199" i="3" s="1"/>
  <c r="AE199" i="3" s="1"/>
  <c r="AF199" i="3" s="1"/>
  <c r="AG199" i="3" s="1"/>
  <c r="AH199" i="3" s="1"/>
  <c r="AI199" i="3" s="1"/>
  <c r="AJ199" i="3" s="1"/>
  <c r="AK199" i="3" s="1"/>
  <c r="V199" i="3"/>
  <c r="U199" i="3" s="1"/>
  <c r="T199" i="3" s="1"/>
  <c r="S199" i="3" s="1"/>
  <c r="R199" i="3" s="1"/>
  <c r="Q199" i="3" s="1"/>
  <c r="P199" i="3" s="1"/>
  <c r="O199" i="3" s="1"/>
  <c r="N199" i="3" s="1"/>
  <c r="M199" i="3" s="1"/>
  <c r="L199" i="3" s="1"/>
  <c r="K199" i="3" s="1"/>
  <c r="J199" i="3" s="1"/>
  <c r="I199" i="3" s="1"/>
  <c r="X198" i="3"/>
  <c r="Y198" i="3" s="1"/>
  <c r="Z198" i="3" s="1"/>
  <c r="AA198" i="3" s="1"/>
  <c r="AB198" i="3" s="1"/>
  <c r="AC198" i="3" s="1"/>
  <c r="AD198" i="3" s="1"/>
  <c r="AE198" i="3" s="1"/>
  <c r="AF198" i="3" s="1"/>
  <c r="AG198" i="3" s="1"/>
  <c r="AH198" i="3" s="1"/>
  <c r="AI198" i="3" s="1"/>
  <c r="AJ198" i="3" s="1"/>
  <c r="AK198" i="3" s="1"/>
  <c r="V198" i="3"/>
  <c r="U198" i="3" s="1"/>
  <c r="T198" i="3" s="1"/>
  <c r="S198" i="3" s="1"/>
  <c r="R198" i="3" s="1"/>
  <c r="Q198" i="3" s="1"/>
  <c r="P198" i="3" s="1"/>
  <c r="O198" i="3" s="1"/>
  <c r="N198" i="3" s="1"/>
  <c r="M198" i="3" s="1"/>
  <c r="L198" i="3" s="1"/>
  <c r="K198" i="3" s="1"/>
  <c r="J198" i="3" s="1"/>
  <c r="I198" i="3" s="1"/>
  <c r="X197" i="3"/>
  <c r="Y197" i="3" s="1"/>
  <c r="Z197" i="3" s="1"/>
  <c r="AA197" i="3" s="1"/>
  <c r="AB197" i="3" s="1"/>
  <c r="AC197" i="3" s="1"/>
  <c r="AD197" i="3" s="1"/>
  <c r="AE197" i="3" s="1"/>
  <c r="AF197" i="3" s="1"/>
  <c r="AG197" i="3" s="1"/>
  <c r="AH197" i="3" s="1"/>
  <c r="AI197" i="3" s="1"/>
  <c r="AJ197" i="3" s="1"/>
  <c r="AK197" i="3" s="1"/>
  <c r="V197" i="3"/>
  <c r="U197" i="3" s="1"/>
  <c r="T197" i="3" s="1"/>
  <c r="S197" i="3" s="1"/>
  <c r="R197" i="3" s="1"/>
  <c r="Q197" i="3" s="1"/>
  <c r="P197" i="3" s="1"/>
  <c r="O197" i="3" s="1"/>
  <c r="N197" i="3" s="1"/>
  <c r="M197" i="3" s="1"/>
  <c r="L197" i="3" s="1"/>
  <c r="K197" i="3" s="1"/>
  <c r="J197" i="3" s="1"/>
  <c r="I197" i="3" s="1"/>
  <c r="X196" i="3"/>
  <c r="Y196" i="3" s="1"/>
  <c r="Z196" i="3" s="1"/>
  <c r="V196" i="3"/>
  <c r="U196" i="3" s="1"/>
  <c r="T196" i="3" s="1"/>
  <c r="X195" i="3"/>
  <c r="Y195" i="3" s="1"/>
  <c r="Z195" i="3" s="1"/>
  <c r="AA195" i="3" s="1"/>
  <c r="AB195" i="3" s="1"/>
  <c r="AC195" i="3" s="1"/>
  <c r="AD195" i="3" s="1"/>
  <c r="AE195" i="3" s="1"/>
  <c r="AF195" i="3" s="1"/>
  <c r="AG195" i="3" s="1"/>
  <c r="AH195" i="3" s="1"/>
  <c r="AI195" i="3" s="1"/>
  <c r="AJ195" i="3" s="1"/>
  <c r="AK195" i="3" s="1"/>
  <c r="V195" i="3"/>
  <c r="U195" i="3" s="1"/>
  <c r="T195" i="3" s="1"/>
  <c r="S195" i="3" s="1"/>
  <c r="R195" i="3" s="1"/>
  <c r="Q195" i="3" s="1"/>
  <c r="P195" i="3" s="1"/>
  <c r="O195" i="3" s="1"/>
  <c r="N195" i="3" s="1"/>
  <c r="M195" i="3" s="1"/>
  <c r="L195" i="3" s="1"/>
  <c r="K195" i="3" s="1"/>
  <c r="J195" i="3" s="1"/>
  <c r="I195" i="3" s="1"/>
  <c r="X194" i="3"/>
  <c r="Y194" i="3" s="1"/>
  <c r="Z194" i="3" s="1"/>
  <c r="AA194" i="3" s="1"/>
  <c r="AB194" i="3" s="1"/>
  <c r="AC194" i="3" s="1"/>
  <c r="AD194" i="3" s="1"/>
  <c r="AE194" i="3" s="1"/>
  <c r="AF194" i="3" s="1"/>
  <c r="AG194" i="3" s="1"/>
  <c r="AH194" i="3" s="1"/>
  <c r="AI194" i="3" s="1"/>
  <c r="AJ194" i="3" s="1"/>
  <c r="AK194" i="3" s="1"/>
  <c r="V194" i="3"/>
  <c r="U194" i="3" s="1"/>
  <c r="T194" i="3" s="1"/>
  <c r="S194" i="3" s="1"/>
  <c r="R194" i="3" s="1"/>
  <c r="Q194" i="3" s="1"/>
  <c r="P194" i="3" s="1"/>
  <c r="O194" i="3" s="1"/>
  <c r="N194" i="3" s="1"/>
  <c r="M194" i="3" s="1"/>
  <c r="L194" i="3" s="1"/>
  <c r="K194" i="3" s="1"/>
  <c r="J194" i="3" s="1"/>
  <c r="I194" i="3" s="1"/>
  <c r="X193" i="3"/>
  <c r="V193" i="3"/>
  <c r="U193" i="3" s="1"/>
  <c r="T193" i="3" s="1"/>
  <c r="S193" i="3" s="1"/>
  <c r="R193" i="3" s="1"/>
  <c r="Q193" i="3" s="1"/>
  <c r="P193" i="3" s="1"/>
  <c r="O193" i="3" s="1"/>
  <c r="N193" i="3" s="1"/>
  <c r="M193" i="3" s="1"/>
  <c r="L193" i="3" s="1"/>
  <c r="K193" i="3" s="1"/>
  <c r="J193" i="3" s="1"/>
  <c r="I193" i="3" s="1"/>
  <c r="X192" i="3"/>
  <c r="Y192" i="3" s="1"/>
  <c r="Z192" i="3" s="1"/>
  <c r="AA192" i="3" s="1"/>
  <c r="AB192" i="3" s="1"/>
  <c r="AC192" i="3" s="1"/>
  <c r="AD192" i="3" s="1"/>
  <c r="AE192" i="3" s="1"/>
  <c r="AF192" i="3" s="1"/>
  <c r="AG192" i="3" s="1"/>
  <c r="AH192" i="3" s="1"/>
  <c r="AI192" i="3" s="1"/>
  <c r="AJ192" i="3" s="1"/>
  <c r="AK192" i="3" s="1"/>
  <c r="V192" i="3"/>
  <c r="U192" i="3" s="1"/>
  <c r="T192" i="3" s="1"/>
  <c r="S192" i="3" s="1"/>
  <c r="R192" i="3" s="1"/>
  <c r="Q192" i="3" s="1"/>
  <c r="P192" i="3" s="1"/>
  <c r="O192" i="3" s="1"/>
  <c r="N192" i="3" s="1"/>
  <c r="M192" i="3" s="1"/>
  <c r="L192" i="3" s="1"/>
  <c r="K192" i="3" s="1"/>
  <c r="J192" i="3" s="1"/>
  <c r="I192" i="3" s="1"/>
  <c r="X191" i="3"/>
  <c r="Y191" i="3" s="1"/>
  <c r="Z191" i="3" s="1"/>
  <c r="AA191" i="3" s="1"/>
  <c r="AB191" i="3" s="1"/>
  <c r="AC191" i="3" s="1"/>
  <c r="AD191" i="3" s="1"/>
  <c r="AE191" i="3" s="1"/>
  <c r="AF191" i="3" s="1"/>
  <c r="AG191" i="3" s="1"/>
  <c r="AH191" i="3" s="1"/>
  <c r="AI191" i="3" s="1"/>
  <c r="AJ191" i="3" s="1"/>
  <c r="AK191" i="3" s="1"/>
  <c r="V191" i="3"/>
  <c r="U191" i="3" s="1"/>
  <c r="T191" i="3" s="1"/>
  <c r="S191" i="3" s="1"/>
  <c r="R191" i="3" s="1"/>
  <c r="Q191" i="3" s="1"/>
  <c r="P191" i="3" s="1"/>
  <c r="O191" i="3" s="1"/>
  <c r="N191" i="3" s="1"/>
  <c r="M191" i="3" s="1"/>
  <c r="L191" i="3" s="1"/>
  <c r="K191" i="3" s="1"/>
  <c r="J191" i="3" s="1"/>
  <c r="I191" i="3" s="1"/>
  <c r="X190" i="3"/>
  <c r="Y190" i="3" s="1"/>
  <c r="Z190" i="3" s="1"/>
  <c r="V190" i="3"/>
  <c r="W189" i="3"/>
  <c r="W188" i="3"/>
  <c r="W341" i="4" s="1"/>
  <c r="W187" i="3"/>
  <c r="W186" i="3"/>
  <c r="W342" i="4" s="1"/>
  <c r="AK180" i="3"/>
  <c r="AJ180" i="3"/>
  <c r="AI180" i="3"/>
  <c r="AH180" i="3"/>
  <c r="AG180" i="3"/>
  <c r="AF180" i="3"/>
  <c r="AE180" i="3"/>
  <c r="AD180" i="3"/>
  <c r="AC180" i="3"/>
  <c r="AB180" i="3"/>
  <c r="AA180" i="3"/>
  <c r="Z180" i="3"/>
  <c r="Y180" i="3"/>
  <c r="X180" i="3"/>
  <c r="W180" i="3"/>
  <c r="V180" i="3"/>
  <c r="U180" i="3"/>
  <c r="T180" i="3"/>
  <c r="S180" i="3"/>
  <c r="R180" i="3"/>
  <c r="Q180" i="3"/>
  <c r="P180" i="3"/>
  <c r="O180" i="3"/>
  <c r="N180" i="3"/>
  <c r="M180" i="3"/>
  <c r="L180" i="3"/>
  <c r="K180" i="3"/>
  <c r="J180" i="3"/>
  <c r="I180" i="3"/>
  <c r="AK167" i="3"/>
  <c r="AJ167" i="3"/>
  <c r="AI167" i="3"/>
  <c r="AH167" i="3"/>
  <c r="AG167" i="3"/>
  <c r="AF167" i="3"/>
  <c r="AE167" i="3"/>
  <c r="AD167" i="3"/>
  <c r="AC167" i="3"/>
  <c r="AB167" i="3"/>
  <c r="AA167" i="3"/>
  <c r="Z167" i="3"/>
  <c r="Y167" i="3"/>
  <c r="X167" i="3"/>
  <c r="W167" i="3"/>
  <c r="V167" i="3"/>
  <c r="U167" i="3"/>
  <c r="T167" i="3"/>
  <c r="S167" i="3"/>
  <c r="R167" i="3"/>
  <c r="Q167" i="3"/>
  <c r="P167" i="3"/>
  <c r="O167" i="3"/>
  <c r="N167" i="3"/>
  <c r="M167" i="3"/>
  <c r="L167" i="3"/>
  <c r="K167" i="3"/>
  <c r="J167" i="3"/>
  <c r="I167" i="3"/>
  <c r="AK166" i="3"/>
  <c r="AJ166" i="3"/>
  <c r="AI166" i="3"/>
  <c r="AH166" i="3"/>
  <c r="AG166" i="3"/>
  <c r="AF166" i="3"/>
  <c r="AE166" i="3"/>
  <c r="AD166" i="3"/>
  <c r="AC166" i="3"/>
  <c r="AB166" i="3"/>
  <c r="AA166" i="3"/>
  <c r="Z166" i="3"/>
  <c r="Y166" i="3"/>
  <c r="X166" i="3"/>
  <c r="W166" i="3"/>
  <c r="V166" i="3"/>
  <c r="U166" i="3"/>
  <c r="T166" i="3"/>
  <c r="S166" i="3"/>
  <c r="R166" i="3"/>
  <c r="Q166" i="3"/>
  <c r="P166" i="3"/>
  <c r="O166" i="3"/>
  <c r="N166" i="3"/>
  <c r="M166" i="3"/>
  <c r="L166" i="3"/>
  <c r="K166" i="3"/>
  <c r="J166" i="3"/>
  <c r="I166" i="3"/>
  <c r="AK160" i="3"/>
  <c r="AJ160" i="3"/>
  <c r="AI160" i="3"/>
  <c r="AH160" i="3"/>
  <c r="AG160" i="3"/>
  <c r="AF160" i="3"/>
  <c r="AE160" i="3"/>
  <c r="AD160" i="3"/>
  <c r="AC160" i="3"/>
  <c r="AB160" i="3"/>
  <c r="AA160" i="3"/>
  <c r="Z160" i="3"/>
  <c r="Y160" i="3"/>
  <c r="X160" i="3"/>
  <c r="W160" i="3"/>
  <c r="V160" i="3"/>
  <c r="U160" i="3"/>
  <c r="T160" i="3"/>
  <c r="S160" i="3"/>
  <c r="R160" i="3"/>
  <c r="Q160" i="3"/>
  <c r="P160" i="3"/>
  <c r="O160" i="3"/>
  <c r="N160" i="3"/>
  <c r="M160" i="3"/>
  <c r="L160" i="3"/>
  <c r="K160" i="3"/>
  <c r="J160" i="3"/>
  <c r="I160" i="3"/>
  <c r="AK147" i="3"/>
  <c r="AJ147" i="3"/>
  <c r="AI147" i="3"/>
  <c r="AH147" i="3"/>
  <c r="AG147" i="3"/>
  <c r="AF147" i="3"/>
  <c r="AE147" i="3"/>
  <c r="AD147" i="3"/>
  <c r="AC147" i="3"/>
  <c r="AB147" i="3"/>
  <c r="AA147" i="3"/>
  <c r="Z147" i="3"/>
  <c r="Y147" i="3"/>
  <c r="X147" i="3"/>
  <c r="W147" i="3"/>
  <c r="V147" i="3"/>
  <c r="U147" i="3"/>
  <c r="T147" i="3"/>
  <c r="S147" i="3"/>
  <c r="R147" i="3"/>
  <c r="Q147" i="3"/>
  <c r="P147" i="3"/>
  <c r="O147" i="3"/>
  <c r="N147" i="3"/>
  <c r="M147" i="3"/>
  <c r="L147" i="3"/>
  <c r="K147" i="3"/>
  <c r="J147" i="3"/>
  <c r="I147" i="3"/>
  <c r="AK146" i="3"/>
  <c r="AJ146" i="3"/>
  <c r="AI146" i="3"/>
  <c r="AH146" i="3"/>
  <c r="AG146" i="3"/>
  <c r="AF146" i="3"/>
  <c r="AE146" i="3"/>
  <c r="AD146" i="3"/>
  <c r="AC146" i="3"/>
  <c r="AB146" i="3"/>
  <c r="AA146" i="3"/>
  <c r="Z146" i="3"/>
  <c r="Y146" i="3"/>
  <c r="X146" i="3"/>
  <c r="W146" i="3"/>
  <c r="V146" i="3"/>
  <c r="U146" i="3"/>
  <c r="T146" i="3"/>
  <c r="S146" i="3"/>
  <c r="R146" i="3"/>
  <c r="Q146" i="3"/>
  <c r="P146" i="3"/>
  <c r="O146" i="3"/>
  <c r="N146" i="3"/>
  <c r="M146" i="3"/>
  <c r="L146" i="3"/>
  <c r="K146" i="3"/>
  <c r="J146" i="3"/>
  <c r="I146" i="3"/>
  <c r="AK145" i="3"/>
  <c r="AJ145" i="3"/>
  <c r="AI145" i="3"/>
  <c r="AH145" i="3"/>
  <c r="AG145" i="3"/>
  <c r="AF145" i="3"/>
  <c r="AE145" i="3"/>
  <c r="AD145" i="3"/>
  <c r="AC145" i="3"/>
  <c r="AB145" i="3"/>
  <c r="AA145" i="3"/>
  <c r="Z145" i="3"/>
  <c r="Y145" i="3"/>
  <c r="X145" i="3"/>
  <c r="W145" i="3"/>
  <c r="V145" i="3"/>
  <c r="U145" i="3"/>
  <c r="T145" i="3"/>
  <c r="S145" i="3"/>
  <c r="R145" i="3"/>
  <c r="Q145" i="3"/>
  <c r="P145" i="3"/>
  <c r="O145" i="3"/>
  <c r="N145" i="3"/>
  <c r="M145" i="3"/>
  <c r="L145" i="3"/>
  <c r="K145" i="3"/>
  <c r="J145" i="3"/>
  <c r="I145" i="3"/>
  <c r="AK144" i="3"/>
  <c r="AK212" i="4" s="1"/>
  <c r="AJ144" i="3"/>
  <c r="AJ212" i="4" s="1"/>
  <c r="AI144" i="3"/>
  <c r="AI212" i="4" s="1"/>
  <c r="AH144" i="3"/>
  <c r="AH212" i="4" s="1"/>
  <c r="AG144" i="3"/>
  <c r="AG212" i="4" s="1"/>
  <c r="AF144" i="3"/>
  <c r="AF212" i="4" s="1"/>
  <c r="AE144" i="3"/>
  <c r="AE212" i="4" s="1"/>
  <c r="AD144" i="3"/>
  <c r="AD212" i="4" s="1"/>
  <c r="AC144" i="3"/>
  <c r="AC212" i="4" s="1"/>
  <c r="AB144" i="3"/>
  <c r="AB212" i="4" s="1"/>
  <c r="AA144" i="3"/>
  <c r="AA212" i="4" s="1"/>
  <c r="Z144" i="3"/>
  <c r="Z212" i="4" s="1"/>
  <c r="Y144" i="3"/>
  <c r="Y212" i="4" s="1"/>
  <c r="X144" i="3"/>
  <c r="X212" i="4" s="1"/>
  <c r="W144" i="3"/>
  <c r="W212" i="4" s="1"/>
  <c r="V144" i="3"/>
  <c r="V212" i="4" s="1"/>
  <c r="U144" i="3"/>
  <c r="U212" i="4" s="1"/>
  <c r="T144" i="3"/>
  <c r="T212" i="4" s="1"/>
  <c r="S144" i="3"/>
  <c r="S212" i="4" s="1"/>
  <c r="R144" i="3"/>
  <c r="R212" i="4" s="1"/>
  <c r="Q144" i="3"/>
  <c r="Q212" i="4" s="1"/>
  <c r="P144" i="3"/>
  <c r="P212" i="4" s="1"/>
  <c r="O144" i="3"/>
  <c r="O212" i="4" s="1"/>
  <c r="N144" i="3"/>
  <c r="N212" i="4" s="1"/>
  <c r="M144" i="3"/>
  <c r="M212" i="4" s="1"/>
  <c r="L144" i="3"/>
  <c r="L212" i="4" s="1"/>
  <c r="K144" i="3"/>
  <c r="K212" i="4" s="1"/>
  <c r="J144" i="3"/>
  <c r="J212" i="4" s="1"/>
  <c r="I144" i="3"/>
  <c r="I212" i="4" s="1"/>
  <c r="X133" i="3"/>
  <c r="V133" i="3"/>
  <c r="X132" i="3"/>
  <c r="V132" i="3"/>
  <c r="X131" i="3"/>
  <c r="V131" i="3"/>
  <c r="X130" i="3"/>
  <c r="V130" i="3"/>
  <c r="X129" i="3"/>
  <c r="V129" i="3"/>
  <c r="X128" i="3"/>
  <c r="V128" i="3"/>
  <c r="X127" i="3"/>
  <c r="Y127" i="3" s="1"/>
  <c r="Z127" i="3" s="1"/>
  <c r="AA127" i="3" s="1"/>
  <c r="AB127" i="3" s="1"/>
  <c r="AC127" i="3" s="1"/>
  <c r="AD127" i="3" s="1"/>
  <c r="AE127" i="3" s="1"/>
  <c r="AF127" i="3" s="1"/>
  <c r="AG127" i="3" s="1"/>
  <c r="AH127" i="3" s="1"/>
  <c r="AI127" i="3" s="1"/>
  <c r="AJ127" i="3" s="1"/>
  <c r="AK127" i="3" s="1"/>
  <c r="V127" i="3"/>
  <c r="U127" i="3" s="1"/>
  <c r="T127" i="3" s="1"/>
  <c r="S127" i="3" s="1"/>
  <c r="R127" i="3" s="1"/>
  <c r="Q127" i="3" s="1"/>
  <c r="P127" i="3" s="1"/>
  <c r="O127" i="3" s="1"/>
  <c r="N127" i="3" s="1"/>
  <c r="M127" i="3" s="1"/>
  <c r="L127" i="3" s="1"/>
  <c r="K127" i="3" s="1"/>
  <c r="J127" i="3" s="1"/>
  <c r="I127" i="3" s="1"/>
  <c r="X126" i="3"/>
  <c r="V126" i="3"/>
  <c r="W125" i="3"/>
  <c r="W577" i="4" s="1"/>
  <c r="W124" i="3"/>
  <c r="S122" i="3"/>
  <c r="T122" i="3" s="1"/>
  <c r="U122" i="3" s="1"/>
  <c r="Q122" i="3"/>
  <c r="P122" i="3" s="1"/>
  <c r="O122" i="3" s="1"/>
  <c r="N122" i="3" s="1"/>
  <c r="M122" i="3" s="1"/>
  <c r="L122" i="3" s="1"/>
  <c r="K122" i="3" s="1"/>
  <c r="J122" i="3" s="1"/>
  <c r="I122" i="3" s="1"/>
  <c r="X121" i="3"/>
  <c r="Y121" i="3" s="1"/>
  <c r="V121" i="3"/>
  <c r="U121" i="3" s="1"/>
  <c r="T121" i="3" s="1"/>
  <c r="S119" i="3"/>
  <c r="T119" i="3" s="1"/>
  <c r="U119" i="3" s="1"/>
  <c r="Q119" i="3"/>
  <c r="P119" i="3" s="1"/>
  <c r="O119" i="3" s="1"/>
  <c r="N119" i="3" s="1"/>
  <c r="M119" i="3" s="1"/>
  <c r="L119" i="3" s="1"/>
  <c r="K119" i="3" s="1"/>
  <c r="J119" i="3" s="1"/>
  <c r="I119" i="3" s="1"/>
  <c r="X118" i="3"/>
  <c r="V118" i="3"/>
  <c r="X115" i="3"/>
  <c r="Y115" i="3" s="1"/>
  <c r="Z115" i="3" s="1"/>
  <c r="AA115" i="3" s="1"/>
  <c r="AB115" i="3" s="1"/>
  <c r="AC115" i="3" s="1"/>
  <c r="AD115" i="3" s="1"/>
  <c r="AE115" i="3" s="1"/>
  <c r="AF115" i="3" s="1"/>
  <c r="AG115" i="3" s="1"/>
  <c r="AH115" i="3" s="1"/>
  <c r="AI115" i="3" s="1"/>
  <c r="AJ115" i="3" s="1"/>
  <c r="AK115" i="3" s="1"/>
  <c r="V115" i="3"/>
  <c r="U115" i="3" s="1"/>
  <c r="T115" i="3" s="1"/>
  <c r="S115" i="3" s="1"/>
  <c r="R115" i="3" s="1"/>
  <c r="Q115" i="3" s="1"/>
  <c r="P115" i="3" s="1"/>
  <c r="O115" i="3" s="1"/>
  <c r="N115" i="3" s="1"/>
  <c r="M115" i="3" s="1"/>
  <c r="L115" i="3" s="1"/>
  <c r="K115" i="3" s="1"/>
  <c r="J115" i="3" s="1"/>
  <c r="I115" i="3" s="1"/>
  <c r="X114" i="3"/>
  <c r="Y114" i="3" s="1"/>
  <c r="Z114" i="3" s="1"/>
  <c r="AA114" i="3" s="1"/>
  <c r="AB114" i="3" s="1"/>
  <c r="AC114" i="3" s="1"/>
  <c r="AD114" i="3" s="1"/>
  <c r="AE114" i="3" s="1"/>
  <c r="AF114" i="3" s="1"/>
  <c r="AG114" i="3" s="1"/>
  <c r="AH114" i="3" s="1"/>
  <c r="AI114" i="3" s="1"/>
  <c r="AJ114" i="3" s="1"/>
  <c r="AK114" i="3" s="1"/>
  <c r="V114" i="3"/>
  <c r="U114" i="3" s="1"/>
  <c r="T114" i="3" s="1"/>
  <c r="S114" i="3" s="1"/>
  <c r="R114" i="3" s="1"/>
  <c r="Q114" i="3" s="1"/>
  <c r="P114" i="3" s="1"/>
  <c r="O114" i="3" s="1"/>
  <c r="N114" i="3" s="1"/>
  <c r="M114" i="3" s="1"/>
  <c r="L114" i="3" s="1"/>
  <c r="K114" i="3" s="1"/>
  <c r="J114" i="3" s="1"/>
  <c r="I114" i="3" s="1"/>
  <c r="X113" i="3"/>
  <c r="Y113" i="3" s="1"/>
  <c r="Z113" i="3" s="1"/>
  <c r="AA113" i="3" s="1"/>
  <c r="AB113" i="3" s="1"/>
  <c r="AC113" i="3" s="1"/>
  <c r="AD113" i="3" s="1"/>
  <c r="AE113" i="3" s="1"/>
  <c r="AF113" i="3" s="1"/>
  <c r="AG113" i="3" s="1"/>
  <c r="AH113" i="3" s="1"/>
  <c r="AI113" i="3" s="1"/>
  <c r="AJ113" i="3" s="1"/>
  <c r="AK113" i="3" s="1"/>
  <c r="V113" i="3"/>
  <c r="U113" i="3" s="1"/>
  <c r="T113" i="3" s="1"/>
  <c r="S113" i="3" s="1"/>
  <c r="R113" i="3" s="1"/>
  <c r="Q113" i="3" s="1"/>
  <c r="P113" i="3" s="1"/>
  <c r="O113" i="3" s="1"/>
  <c r="N113" i="3" s="1"/>
  <c r="M113" i="3" s="1"/>
  <c r="L113" i="3" s="1"/>
  <c r="K113" i="3" s="1"/>
  <c r="J113" i="3" s="1"/>
  <c r="I113" i="3" s="1"/>
  <c r="X112" i="3"/>
  <c r="Y112" i="3" s="1"/>
  <c r="Z112" i="3" s="1"/>
  <c r="AA112" i="3" s="1"/>
  <c r="AB112" i="3" s="1"/>
  <c r="AC112" i="3" s="1"/>
  <c r="AD112" i="3" s="1"/>
  <c r="AE112" i="3" s="1"/>
  <c r="AF112" i="3" s="1"/>
  <c r="AG112" i="3" s="1"/>
  <c r="AH112" i="3" s="1"/>
  <c r="AI112" i="3" s="1"/>
  <c r="AJ112" i="3" s="1"/>
  <c r="AK112" i="3" s="1"/>
  <c r="V112" i="3"/>
  <c r="U112" i="3" s="1"/>
  <c r="T112" i="3" s="1"/>
  <c r="S112" i="3" s="1"/>
  <c r="R112" i="3" s="1"/>
  <c r="Q112" i="3" s="1"/>
  <c r="P112" i="3" s="1"/>
  <c r="O112" i="3" s="1"/>
  <c r="N112" i="3" s="1"/>
  <c r="M112" i="3" s="1"/>
  <c r="L112" i="3" s="1"/>
  <c r="K112" i="3" s="1"/>
  <c r="J112" i="3" s="1"/>
  <c r="I112" i="3" s="1"/>
  <c r="X111" i="3"/>
  <c r="Y111" i="3" s="1"/>
  <c r="V111" i="3"/>
  <c r="U111" i="3" s="1"/>
  <c r="W110" i="3"/>
  <c r="X109" i="3"/>
  <c r="V109" i="3"/>
  <c r="X108" i="3"/>
  <c r="V108" i="3"/>
  <c r="X107" i="3"/>
  <c r="V107" i="3"/>
  <c r="X106" i="3"/>
  <c r="V106" i="3"/>
  <c r="X105" i="3"/>
  <c r="V105" i="3"/>
  <c r="X104" i="3"/>
  <c r="Y104" i="3" s="1"/>
  <c r="V104" i="3"/>
  <c r="U104" i="3" s="1"/>
  <c r="W103" i="3"/>
  <c r="AK93" i="3"/>
  <c r="AJ93" i="3"/>
  <c r="AI93" i="3"/>
  <c r="AH93" i="3"/>
  <c r="AG93" i="3"/>
  <c r="AE93" i="3"/>
  <c r="AD93" i="3"/>
  <c r="AC93" i="3"/>
  <c r="AB93" i="3"/>
  <c r="AA93" i="3"/>
  <c r="Z93" i="3"/>
  <c r="Y93" i="3"/>
  <c r="X93" i="3"/>
  <c r="W93" i="3"/>
  <c r="V93" i="3"/>
  <c r="U93" i="3"/>
  <c r="T93" i="3"/>
  <c r="S93" i="3"/>
  <c r="R93" i="3"/>
  <c r="Q93" i="3"/>
  <c r="P93" i="3"/>
  <c r="O93" i="3"/>
  <c r="N93" i="3"/>
  <c r="M93" i="3"/>
  <c r="L93" i="3"/>
  <c r="K93" i="3"/>
  <c r="J93" i="3"/>
  <c r="I93" i="3"/>
  <c r="AK92" i="3"/>
  <c r="AJ92" i="3"/>
  <c r="AI92" i="3"/>
  <c r="AH92" i="3"/>
  <c r="AG92" i="3"/>
  <c r="AE92" i="3"/>
  <c r="AD92" i="3"/>
  <c r="AC92" i="3"/>
  <c r="AB92" i="3"/>
  <c r="Z92" i="3"/>
  <c r="Y92" i="3"/>
  <c r="X92" i="3"/>
  <c r="W92" i="3"/>
  <c r="V92" i="3"/>
  <c r="U92" i="3"/>
  <c r="T92" i="3"/>
  <c r="S92" i="3"/>
  <c r="R92" i="3"/>
  <c r="Q92" i="3"/>
  <c r="P92" i="3"/>
  <c r="O92" i="3"/>
  <c r="N92" i="3"/>
  <c r="M92" i="3"/>
  <c r="L92" i="3"/>
  <c r="K92" i="3"/>
  <c r="J92" i="3"/>
  <c r="I92" i="3"/>
  <c r="AK88" i="3"/>
  <c r="AJ88" i="3"/>
  <c r="AI88" i="3"/>
  <c r="AH88" i="3"/>
  <c r="AG88" i="3"/>
  <c r="AF88" i="3"/>
  <c r="AE88" i="3"/>
  <c r="AD88" i="3"/>
  <c r="AC88" i="3"/>
  <c r="AB88" i="3"/>
  <c r="AA88" i="3"/>
  <c r="Z88" i="3"/>
  <c r="Y88" i="3"/>
  <c r="X88" i="3"/>
  <c r="W88" i="3"/>
  <c r="V88" i="3"/>
  <c r="U88" i="3"/>
  <c r="T88" i="3"/>
  <c r="S88" i="3"/>
  <c r="R88" i="3"/>
  <c r="Q88" i="3"/>
  <c r="P88" i="3"/>
  <c r="O88" i="3"/>
  <c r="N88" i="3"/>
  <c r="M88" i="3"/>
  <c r="L88" i="3"/>
  <c r="K88" i="3"/>
  <c r="J88" i="3"/>
  <c r="I88" i="3"/>
  <c r="AK85" i="3"/>
  <c r="AJ85" i="3"/>
  <c r="AI85" i="3"/>
  <c r="AH85" i="3"/>
  <c r="AG85" i="3"/>
  <c r="AF85" i="3"/>
  <c r="AE85" i="3"/>
  <c r="AD85" i="3"/>
  <c r="AC85" i="3"/>
  <c r="AB85" i="3"/>
  <c r="AA85" i="3"/>
  <c r="Z85" i="3"/>
  <c r="Y85" i="3"/>
  <c r="X85" i="3"/>
  <c r="W85" i="3"/>
  <c r="V85" i="3"/>
  <c r="U85" i="3"/>
  <c r="T85" i="3"/>
  <c r="S85" i="3"/>
  <c r="R85" i="3"/>
  <c r="Q85" i="3"/>
  <c r="P85" i="3"/>
  <c r="O85" i="3"/>
  <c r="N85" i="3"/>
  <c r="M85" i="3"/>
  <c r="L85" i="3"/>
  <c r="K85" i="3"/>
  <c r="J85" i="3"/>
  <c r="I85" i="3"/>
  <c r="AK78" i="3"/>
  <c r="AJ78" i="3"/>
  <c r="AI78" i="3"/>
  <c r="AH78" i="3"/>
  <c r="AG78" i="3"/>
  <c r="AF78" i="3"/>
  <c r="AE78" i="3"/>
  <c r="AD78" i="3"/>
  <c r="AC78" i="3"/>
  <c r="AB78" i="3"/>
  <c r="AA78" i="3"/>
  <c r="Z78" i="3"/>
  <c r="Y78" i="3"/>
  <c r="X78" i="3"/>
  <c r="W78" i="3"/>
  <c r="V78" i="3"/>
  <c r="U78" i="3"/>
  <c r="T78" i="3"/>
  <c r="S78" i="3"/>
  <c r="R78" i="3"/>
  <c r="Q78" i="3"/>
  <c r="P78" i="3"/>
  <c r="O78" i="3"/>
  <c r="N78" i="3"/>
  <c r="M78" i="3"/>
  <c r="L78" i="3"/>
  <c r="K78" i="3"/>
  <c r="J78" i="3"/>
  <c r="I78" i="3"/>
  <c r="AK71" i="3"/>
  <c r="AJ71" i="3"/>
  <c r="AI71" i="3"/>
  <c r="AH71" i="3"/>
  <c r="AG71" i="3"/>
  <c r="AF71" i="3"/>
  <c r="AE71" i="3"/>
  <c r="AD71" i="3"/>
  <c r="AC71" i="3"/>
  <c r="AB71" i="3"/>
  <c r="AA71" i="3"/>
  <c r="Z71" i="3"/>
  <c r="Y71" i="3"/>
  <c r="X71" i="3"/>
  <c r="W71" i="3"/>
  <c r="V71" i="3"/>
  <c r="U71" i="3"/>
  <c r="T71" i="3"/>
  <c r="S71" i="3"/>
  <c r="R71" i="3"/>
  <c r="Q71" i="3"/>
  <c r="P71" i="3"/>
  <c r="O71" i="3"/>
  <c r="N71" i="3"/>
  <c r="M71" i="3"/>
  <c r="L71" i="3"/>
  <c r="K71" i="3"/>
  <c r="J71" i="3"/>
  <c r="I71" i="3"/>
  <c r="AK52" i="3"/>
  <c r="AJ52" i="3"/>
  <c r="AI52" i="3"/>
  <c r="AH52" i="3"/>
  <c r="AG52" i="3"/>
  <c r="AF52" i="3"/>
  <c r="AE52" i="3"/>
  <c r="AD52" i="3"/>
  <c r="AC52" i="3"/>
  <c r="AB52" i="3"/>
  <c r="AA52" i="3"/>
  <c r="Z52" i="3"/>
  <c r="Y52" i="3"/>
  <c r="X52" i="3"/>
  <c r="W52" i="3"/>
  <c r="V51" i="3"/>
  <c r="U51" i="3"/>
  <c r="T51" i="3"/>
  <c r="S51" i="3"/>
  <c r="V48" i="3"/>
  <c r="U48" i="3"/>
  <c r="T48" i="3"/>
  <c r="S48" i="3"/>
  <c r="V45" i="3"/>
  <c r="U45" i="3"/>
  <c r="T45" i="3"/>
  <c r="S45" i="3"/>
  <c r="Z43" i="3"/>
  <c r="AK42" i="3"/>
  <c r="AJ42" i="3"/>
  <c r="AI42" i="3"/>
  <c r="AH42" i="3"/>
  <c r="AG42" i="3"/>
  <c r="AF42" i="3"/>
  <c r="AE42" i="3"/>
  <c r="AD42" i="3"/>
  <c r="AC42" i="3"/>
  <c r="AB42" i="3"/>
  <c r="AA42" i="3"/>
  <c r="Z42" i="3"/>
  <c r="Y42" i="3"/>
  <c r="X42" i="3"/>
  <c r="W42" i="3"/>
  <c r="V41" i="3"/>
  <c r="U41" i="3"/>
  <c r="T41" i="3"/>
  <c r="S41" i="3"/>
  <c r="V38" i="3"/>
  <c r="U38" i="3"/>
  <c r="T38" i="3"/>
  <c r="S38" i="3"/>
  <c r="V35" i="3"/>
  <c r="U35" i="3"/>
  <c r="T35" i="3"/>
  <c r="S35" i="3"/>
  <c r="AK33" i="3"/>
  <c r="AJ33" i="3"/>
  <c r="AI33" i="3"/>
  <c r="AH33" i="3"/>
  <c r="AG33" i="3"/>
  <c r="AF33" i="3"/>
  <c r="AE33" i="3"/>
  <c r="AD33" i="3"/>
  <c r="AC33" i="3"/>
  <c r="AB33" i="3"/>
  <c r="AA33" i="3"/>
  <c r="Z33" i="3"/>
  <c r="Y33" i="3"/>
  <c r="X33" i="3"/>
  <c r="W33" i="3"/>
  <c r="AK32" i="3"/>
  <c r="AJ32" i="3"/>
  <c r="AI32" i="3"/>
  <c r="AH32" i="3"/>
  <c r="AG32" i="3"/>
  <c r="AF32" i="3"/>
  <c r="AE32" i="3"/>
  <c r="AD32" i="3"/>
  <c r="AC32" i="3"/>
  <c r="AB32" i="3"/>
  <c r="AA32" i="3"/>
  <c r="Z32" i="3"/>
  <c r="Y32" i="3"/>
  <c r="X32" i="3"/>
  <c r="W32" i="3"/>
  <c r="AK30" i="3"/>
  <c r="AJ30" i="3"/>
  <c r="AI30" i="3"/>
  <c r="AH30" i="3"/>
  <c r="AG30" i="3"/>
  <c r="AF30" i="3"/>
  <c r="AE30" i="3"/>
  <c r="AD30" i="3"/>
  <c r="AC30" i="3"/>
  <c r="AB30" i="3"/>
  <c r="AA30" i="3"/>
  <c r="Z30" i="3"/>
  <c r="Y30" i="3"/>
  <c r="X30" i="3"/>
  <c r="W30" i="3"/>
  <c r="AJ27" i="3"/>
  <c r="AI27" i="3"/>
  <c r="Y27" i="3"/>
  <c r="X27" i="3"/>
  <c r="AK26" i="3"/>
  <c r="AJ26" i="3"/>
  <c r="AI26" i="3"/>
  <c r="AH26" i="3"/>
  <c r="AG26" i="3"/>
  <c r="AF26" i="3"/>
  <c r="AE26" i="3"/>
  <c r="AD26" i="3"/>
  <c r="AC26" i="3"/>
  <c r="AB26" i="3"/>
  <c r="AA26" i="3"/>
  <c r="Z26" i="3"/>
  <c r="Y26" i="3"/>
  <c r="X26" i="3"/>
  <c r="W26" i="3"/>
  <c r="V25" i="3"/>
  <c r="U25" i="3"/>
  <c r="T25" i="3"/>
  <c r="S25" i="3"/>
  <c r="V19" i="3"/>
  <c r="U19" i="3"/>
  <c r="T19" i="3"/>
  <c r="S19" i="3"/>
  <c r="R19" i="3"/>
  <c r="Q19" i="3"/>
  <c r="P19" i="3"/>
  <c r="O19" i="3"/>
  <c r="N19" i="3"/>
  <c r="Y43" i="3" l="1"/>
  <c r="AJ36" i="3"/>
  <c r="AF21" i="3"/>
  <c r="AE37" i="3"/>
  <c r="AB49" i="3"/>
  <c r="AE20" i="3"/>
  <c r="AK21" i="3"/>
  <c r="AF39" i="3"/>
  <c r="AK23" i="3"/>
  <c r="AF47" i="3"/>
  <c r="AD29" i="3"/>
  <c r="AD28" i="3" s="1"/>
  <c r="AK47" i="3"/>
  <c r="AK43" i="3"/>
  <c r="Y36" i="3"/>
  <c r="X401" i="4"/>
  <c r="AJ53" i="3"/>
  <c r="AJ51" i="3" s="1"/>
  <c r="AK53" i="3"/>
  <c r="AK51" i="3" s="1"/>
  <c r="Z46" i="3"/>
  <c r="AJ20" i="3"/>
  <c r="Z23" i="3"/>
  <c r="AC27" i="3"/>
  <c r="AC25" i="3" s="1"/>
  <c r="AK37" i="3"/>
  <c r="AD43" i="3"/>
  <c r="AD41" i="3" s="1"/>
  <c r="AJ46" i="3"/>
  <c r="AG49" i="3"/>
  <c r="Y53" i="3"/>
  <c r="Y51" i="3" s="1"/>
  <c r="Z21" i="3"/>
  <c r="AF23" i="3"/>
  <c r="AE27" i="3"/>
  <c r="AE25" i="3" s="1"/>
  <c r="AI43" i="3"/>
  <c r="AI41" i="3" s="1"/>
  <c r="AA47" i="3"/>
  <c r="AA53" i="3"/>
  <c r="AA51" i="3" s="1"/>
  <c r="AF29" i="3"/>
  <c r="AF28" i="3" s="1"/>
  <c r="O24" i="3"/>
  <c r="O58" i="4" s="1"/>
  <c r="U24" i="3"/>
  <c r="U58" i="4" s="1"/>
  <c r="R24" i="3"/>
  <c r="R58" i="4" s="1"/>
  <c r="N24" i="3"/>
  <c r="N58" i="4" s="1"/>
  <c r="Q24" i="3"/>
  <c r="Q58" i="4" s="1"/>
  <c r="P24" i="3"/>
  <c r="P58" i="4" s="1"/>
  <c r="S24" i="3"/>
  <c r="S58" i="4" s="1"/>
  <c r="V24" i="3"/>
  <c r="V58" i="4" s="1"/>
  <c r="M24" i="3"/>
  <c r="M58" i="4" s="1"/>
  <c r="T24" i="3"/>
  <c r="T58" i="4" s="1"/>
  <c r="X49" i="3"/>
  <c r="M23" i="3"/>
  <c r="Q23" i="3"/>
  <c r="U23" i="3"/>
  <c r="T23" i="3"/>
  <c r="N23" i="3"/>
  <c r="R23" i="3"/>
  <c r="Q244" i="4" s="1"/>
  <c r="V23" i="3"/>
  <c r="O23" i="3"/>
  <c r="S23" i="3"/>
  <c r="S244" i="4" s="1"/>
  <c r="P23" i="3"/>
  <c r="AF53" i="3"/>
  <c r="AF51" i="3" s="1"/>
  <c r="AE53" i="3"/>
  <c r="AE51" i="3" s="1"/>
  <c r="AE46" i="3"/>
  <c r="W50" i="3"/>
  <c r="Y20" i="3"/>
  <c r="Z37" i="3"/>
  <c r="AD36" i="3"/>
  <c r="AE43" i="3"/>
  <c r="AE41" i="3" s="1"/>
  <c r="P48" i="4"/>
  <c r="AA50" i="4"/>
  <c r="M53" i="4"/>
  <c r="V53" i="4"/>
  <c r="AD52" i="4"/>
  <c r="N52" i="4"/>
  <c r="V51" i="4"/>
  <c r="AA48" i="4"/>
  <c r="AH47" i="4"/>
  <c r="R47" i="4"/>
  <c r="Z50" i="4"/>
  <c r="AK53" i="4"/>
  <c r="U53" i="4"/>
  <c r="AC52" i="4"/>
  <c r="AK51" i="4"/>
  <c r="U51" i="4"/>
  <c r="Z48" i="4"/>
  <c r="AG47" i="4"/>
  <c r="Q47" i="4"/>
  <c r="Y50" i="4"/>
  <c r="Y54" i="4" s="1"/>
  <c r="AJ53" i="4"/>
  <c r="T53" i="4"/>
  <c r="AB52" i="4"/>
  <c r="AJ51" i="4"/>
  <c r="T51" i="4"/>
  <c r="Y48" i="4"/>
  <c r="AF47" i="4"/>
  <c r="P47" i="4"/>
  <c r="X50" i="4"/>
  <c r="W54" i="4" s="1"/>
  <c r="AI53" i="4"/>
  <c r="S53" i="4"/>
  <c r="AA52" i="4"/>
  <c r="AI51" i="4"/>
  <c r="S51" i="4"/>
  <c r="X48" i="4"/>
  <c r="AA47" i="4"/>
  <c r="S52" i="4"/>
  <c r="S47" i="4"/>
  <c r="N47" i="4"/>
  <c r="T47" i="4"/>
  <c r="AE52" i="4"/>
  <c r="M46" i="4"/>
  <c r="W50" i="4"/>
  <c r="AH53" i="4"/>
  <c r="R53" i="4"/>
  <c r="Z52" i="4"/>
  <c r="AH51" i="4"/>
  <c r="R51" i="4"/>
  <c r="W48" i="4"/>
  <c r="AD47" i="4"/>
  <c r="M50" i="4"/>
  <c r="V50" i="4"/>
  <c r="AG53" i="4"/>
  <c r="Q53" i="4"/>
  <c r="Y52" i="4"/>
  <c r="Y56" i="4" s="1"/>
  <c r="AG51" i="4"/>
  <c r="Q51" i="4"/>
  <c r="V48" i="4"/>
  <c r="AC47" i="4"/>
  <c r="AK50" i="4"/>
  <c r="U50" i="4"/>
  <c r="AF53" i="4"/>
  <c r="P53" i="4"/>
  <c r="X52" i="4"/>
  <c r="W56" i="4" s="1"/>
  <c r="AF51" i="4"/>
  <c r="P51" i="4"/>
  <c r="AK48" i="4"/>
  <c r="U48" i="4"/>
  <c r="AB47" i="4"/>
  <c r="AJ50" i="4"/>
  <c r="T50" i="4"/>
  <c r="AE53" i="4"/>
  <c r="O53" i="4"/>
  <c r="W52" i="4"/>
  <c r="AE51" i="4"/>
  <c r="O51" i="4"/>
  <c r="AJ48" i="4"/>
  <c r="T48" i="4"/>
  <c r="W47" i="4"/>
  <c r="AI52" i="4"/>
  <c r="AI47" i="4"/>
  <c r="X51" i="4"/>
  <c r="W55" i="4" s="1"/>
  <c r="AJ47" i="4"/>
  <c r="W53" i="4"/>
  <c r="O47" i="4"/>
  <c r="AI50" i="4"/>
  <c r="S50" i="4"/>
  <c r="AD53" i="4"/>
  <c r="N53" i="4"/>
  <c r="V52" i="4"/>
  <c r="AD51" i="4"/>
  <c r="N51" i="4"/>
  <c r="AI48" i="4"/>
  <c r="S48" i="4"/>
  <c r="Z47" i="4"/>
  <c r="AH50" i="4"/>
  <c r="R50" i="4"/>
  <c r="AC53" i="4"/>
  <c r="AK52" i="4"/>
  <c r="U52" i="4"/>
  <c r="AC51" i="4"/>
  <c r="M47" i="4"/>
  <c r="AH48" i="4"/>
  <c r="R48" i="4"/>
  <c r="Y47" i="4"/>
  <c r="AG50" i="4"/>
  <c r="Q50" i="4"/>
  <c r="AB53" i="4"/>
  <c r="AJ52" i="4"/>
  <c r="T52" i="4"/>
  <c r="AB51" i="4"/>
  <c r="M48" i="4"/>
  <c r="AG48" i="4"/>
  <c r="Q48" i="4"/>
  <c r="X47" i="4"/>
  <c r="AF50" i="4"/>
  <c r="P50" i="4"/>
  <c r="AA53" i="4"/>
  <c r="AA51" i="4"/>
  <c r="AF48" i="4"/>
  <c r="AF52" i="4"/>
  <c r="AB50" i="4"/>
  <c r="O52" i="4"/>
  <c r="AB48" i="4"/>
  <c r="AE50" i="4"/>
  <c r="O50" i="4"/>
  <c r="Z53" i="4"/>
  <c r="AH52" i="4"/>
  <c r="R52" i="4"/>
  <c r="Z51" i="4"/>
  <c r="AE48" i="4"/>
  <c r="O48" i="4"/>
  <c r="V47" i="4"/>
  <c r="AD50" i="4"/>
  <c r="N50" i="4"/>
  <c r="Y53" i="4"/>
  <c r="Y57" i="4" s="1"/>
  <c r="AG52" i="4"/>
  <c r="Q52" i="4"/>
  <c r="Y51" i="4"/>
  <c r="Y55" i="4" s="1"/>
  <c r="N48" i="4"/>
  <c r="AD48" i="4"/>
  <c r="AK47" i="4"/>
  <c r="U47" i="4"/>
  <c r="AC50" i="4"/>
  <c r="M51" i="4"/>
  <c r="X53" i="4"/>
  <c r="W57" i="4" s="1"/>
  <c r="P52" i="4"/>
  <c r="AC48" i="4"/>
  <c r="M52" i="4"/>
  <c r="W51" i="4"/>
  <c r="AE47" i="4"/>
  <c r="AJ49" i="4"/>
  <c r="T49" i="4"/>
  <c r="AI49" i="4"/>
  <c r="S49" i="4"/>
  <c r="AH49" i="4"/>
  <c r="R49" i="4"/>
  <c r="AG49" i="4"/>
  <c r="Q49" i="4"/>
  <c r="Y49" i="4"/>
  <c r="U49" i="4"/>
  <c r="AF49" i="4"/>
  <c r="P49" i="4"/>
  <c r="AE49" i="4"/>
  <c r="O49" i="4"/>
  <c r="AD49" i="4"/>
  <c r="AC49" i="4"/>
  <c r="M49" i="4"/>
  <c r="AK49" i="4"/>
  <c r="AB49" i="4"/>
  <c r="AA49" i="4"/>
  <c r="Z49" i="4"/>
  <c r="V49" i="4"/>
  <c r="N49" i="4"/>
  <c r="X49" i="4"/>
  <c r="W49" i="4"/>
  <c r="W40" i="3"/>
  <c r="U46" i="4"/>
  <c r="T46" i="4"/>
  <c r="R46" i="4"/>
  <c r="V46" i="4"/>
  <c r="P46" i="4"/>
  <c r="Q46" i="4"/>
  <c r="N46" i="4"/>
  <c r="S46" i="4"/>
  <c r="O46" i="4"/>
  <c r="AG24" i="3"/>
  <c r="AG58" i="4" s="1"/>
  <c r="Y29" i="3"/>
  <c r="Y28" i="3" s="1"/>
  <c r="AJ29" i="3"/>
  <c r="AJ28" i="3" s="1"/>
  <c r="AB40" i="3"/>
  <c r="AC50" i="3"/>
  <c r="AA24" i="3"/>
  <c r="AA58" i="4" s="1"/>
  <c r="AK29" i="3"/>
  <c r="AK28" i="3" s="1"/>
  <c r="AG40" i="3"/>
  <c r="AH50" i="3"/>
  <c r="Z29" i="3"/>
  <c r="Z28" i="3" s="1"/>
  <c r="AG47" i="3"/>
  <c r="X46" i="4"/>
  <c r="AB46" i="4"/>
  <c r="AF46" i="4"/>
  <c r="AJ46" i="4"/>
  <c r="Y46" i="4"/>
  <c r="AC46" i="4"/>
  <c r="AG46" i="4"/>
  <c r="AK46" i="4"/>
  <c r="Z46" i="4"/>
  <c r="AD46" i="4"/>
  <c r="AH46" i="4"/>
  <c r="W46" i="4"/>
  <c r="AA46" i="4"/>
  <c r="AE46" i="4"/>
  <c r="AI46" i="4"/>
  <c r="O120" i="2"/>
  <c r="V120" i="2" s="1"/>
  <c r="V127" i="2"/>
  <c r="I401" i="4"/>
  <c r="AB905" i="4"/>
  <c r="L905" i="4"/>
  <c r="X905" i="4"/>
  <c r="AF905" i="4"/>
  <c r="I905" i="4"/>
  <c r="M905" i="4"/>
  <c r="Q905" i="4"/>
  <c r="U905" i="4"/>
  <c r="Y905" i="4"/>
  <c r="AC905" i="4"/>
  <c r="AG905" i="4"/>
  <c r="AK905" i="4"/>
  <c r="J905" i="4"/>
  <c r="N905" i="4"/>
  <c r="R905" i="4"/>
  <c r="V905" i="4"/>
  <c r="Z905" i="4"/>
  <c r="AD905" i="4"/>
  <c r="AH905" i="4"/>
  <c r="P905" i="4"/>
  <c r="T905" i="4"/>
  <c r="AJ905" i="4"/>
  <c r="K905" i="4"/>
  <c r="O905" i="4"/>
  <c r="S905" i="4"/>
  <c r="W905" i="4"/>
  <c r="AA905" i="4"/>
  <c r="AE905" i="4"/>
  <c r="AI905" i="4"/>
  <c r="Q401" i="4"/>
  <c r="U105" i="3"/>
  <c r="W1259" i="4"/>
  <c r="AE1260" i="4"/>
  <c r="U109" i="3"/>
  <c r="W1274" i="4"/>
  <c r="AE1275" i="4"/>
  <c r="Y130" i="3"/>
  <c r="Y1228" i="4"/>
  <c r="AG1229" i="4"/>
  <c r="W503" i="4"/>
  <c r="W511" i="4" s="1"/>
  <c r="X1254" i="4"/>
  <c r="AF1255" i="4"/>
  <c r="Y1269" i="4"/>
  <c r="AG1270" i="4"/>
  <c r="Y109" i="3"/>
  <c r="Y1274" i="4"/>
  <c r="AG1275" i="4"/>
  <c r="U118" i="3"/>
  <c r="U117" i="3" s="1"/>
  <c r="U576" i="4" s="1"/>
  <c r="W1249" i="4"/>
  <c r="AE1250" i="4"/>
  <c r="X1208" i="4"/>
  <c r="U129" i="3"/>
  <c r="W1223" i="4"/>
  <c r="AE1224" i="4"/>
  <c r="U106" i="3"/>
  <c r="W1264" i="4"/>
  <c r="AE1265" i="4"/>
  <c r="U108" i="3"/>
  <c r="U504" i="4" s="1"/>
  <c r="W1279" i="4"/>
  <c r="AE1280" i="4"/>
  <c r="Y118" i="3"/>
  <c r="Y1249" i="4"/>
  <c r="AG1250" i="4"/>
  <c r="Y129" i="3"/>
  <c r="Y1223" i="4"/>
  <c r="AG1224" i="4"/>
  <c r="Y131" i="3"/>
  <c r="Y1233" i="4"/>
  <c r="AG1234" i="4"/>
  <c r="X578" i="4"/>
  <c r="Y1243" i="4"/>
  <c r="AG1244" i="4"/>
  <c r="U107" i="3"/>
  <c r="W1269" i="4"/>
  <c r="AE1270" i="4"/>
  <c r="Y126" i="3"/>
  <c r="Y1213" i="4"/>
  <c r="AG1214" i="4"/>
  <c r="Y128" i="3"/>
  <c r="Z128" i="3" s="1"/>
  <c r="Y1218" i="4"/>
  <c r="Y132" i="3"/>
  <c r="Y1238" i="4"/>
  <c r="AG1239" i="4"/>
  <c r="Y105" i="3"/>
  <c r="Y1259" i="4"/>
  <c r="AG1260" i="4"/>
  <c r="U131" i="3"/>
  <c r="W1233" i="4"/>
  <c r="AE1234" i="4"/>
  <c r="V578" i="4"/>
  <c r="W1243" i="4"/>
  <c r="AE1244" i="4"/>
  <c r="Y106" i="3"/>
  <c r="Y1264" i="4"/>
  <c r="AG1265" i="4"/>
  <c r="Y108" i="3"/>
  <c r="Y1279" i="4"/>
  <c r="AG1280" i="4"/>
  <c r="U126" i="3"/>
  <c r="T126" i="3" s="1"/>
  <c r="W1213" i="4"/>
  <c r="AE1214" i="4"/>
  <c r="U128" i="3"/>
  <c r="W1218" i="4"/>
  <c r="AE1219" i="4"/>
  <c r="U130" i="3"/>
  <c r="W1228" i="4"/>
  <c r="AE1229" i="4"/>
  <c r="U132" i="3"/>
  <c r="W1238" i="4"/>
  <c r="AE1239" i="4"/>
  <c r="P607" i="4"/>
  <c r="T607" i="4"/>
  <c r="P605" i="4"/>
  <c r="T605" i="4"/>
  <c r="X605" i="4"/>
  <c r="J607" i="4"/>
  <c r="N607" i="4"/>
  <c r="Q605" i="4"/>
  <c r="U605" i="4"/>
  <c r="Y605" i="4"/>
  <c r="P606" i="4"/>
  <c r="T606" i="4"/>
  <c r="K607" i="4"/>
  <c r="Q607" i="4"/>
  <c r="U607" i="4"/>
  <c r="AB605" i="4"/>
  <c r="R607" i="4"/>
  <c r="V607" i="4"/>
  <c r="AC605" i="4"/>
  <c r="AG605" i="4"/>
  <c r="L606" i="4"/>
  <c r="J605" i="4"/>
  <c r="N605" i="4"/>
  <c r="R605" i="4"/>
  <c r="V605" i="4"/>
  <c r="AD605" i="4"/>
  <c r="AH605" i="4"/>
  <c r="M606" i="4"/>
  <c r="Q606" i="4"/>
  <c r="U606" i="4"/>
  <c r="Y606" i="4"/>
  <c r="L607" i="4"/>
  <c r="X607" i="4"/>
  <c r="AB607" i="4"/>
  <c r="AF607" i="4"/>
  <c r="AJ607" i="4"/>
  <c r="K605" i="4"/>
  <c r="W605" i="4"/>
  <c r="AE605" i="4"/>
  <c r="AI605" i="4"/>
  <c r="J606" i="4"/>
  <c r="N606" i="4"/>
  <c r="R606" i="4"/>
  <c r="V606" i="4"/>
  <c r="M607" i="4"/>
  <c r="Y607" i="4"/>
  <c r="AC607" i="4"/>
  <c r="AG607" i="4"/>
  <c r="AK607" i="4"/>
  <c r="L605" i="4"/>
  <c r="AF605" i="4"/>
  <c r="AJ605" i="4"/>
  <c r="K606" i="4"/>
  <c r="W606" i="4"/>
  <c r="AD607" i="4"/>
  <c r="AH607" i="4"/>
  <c r="M605" i="4"/>
  <c r="AK605" i="4"/>
  <c r="X606" i="4"/>
  <c r="O607" i="4"/>
  <c r="W607" i="4"/>
  <c r="AA607" i="4"/>
  <c r="AE607" i="4"/>
  <c r="AI607" i="4"/>
  <c r="Z605" i="4"/>
  <c r="O605" i="4"/>
  <c r="Z606" i="4"/>
  <c r="O606" i="4"/>
  <c r="Z607" i="4"/>
  <c r="AK1323" i="4"/>
  <c r="U34" i="3"/>
  <c r="U265" i="4" s="1"/>
  <c r="Y303" i="4"/>
  <c r="X876" i="3"/>
  <c r="X300" i="4" s="1"/>
  <c r="Y302" i="4"/>
  <c r="Z302" i="4"/>
  <c r="X303" i="4"/>
  <c r="W302" i="4"/>
  <c r="X302" i="4"/>
  <c r="V715" i="4"/>
  <c r="V504" i="4" s="1"/>
  <c r="R715" i="4"/>
  <c r="AK36" i="3"/>
  <c r="T34" i="3"/>
  <c r="T265" i="4" s="1"/>
  <c r="V34" i="3"/>
  <c r="V265" i="4" s="1"/>
  <c r="AC844" i="3"/>
  <c r="P1011" i="4"/>
  <c r="AA20" i="3"/>
  <c r="AK20" i="3"/>
  <c r="AB23" i="3"/>
  <c r="W24" i="3"/>
  <c r="W58" i="4" s="1"/>
  <c r="Z36" i="3"/>
  <c r="AG37" i="3"/>
  <c r="AH39" i="3"/>
  <c r="W47" i="3"/>
  <c r="AK46" i="3"/>
  <c r="AK45" i="3" s="1"/>
  <c r="AG46" i="3"/>
  <c r="AC46" i="3"/>
  <c r="Y46" i="3"/>
  <c r="AI36" i="3"/>
  <c r="AE36" i="3"/>
  <c r="AE35" i="3" s="1"/>
  <c r="AA36" i="3"/>
  <c r="W36" i="3"/>
  <c r="AH20" i="3"/>
  <c r="AD20" i="3"/>
  <c r="Z20" i="3"/>
  <c r="AI49" i="3"/>
  <c r="AE49" i="3"/>
  <c r="AA49" i="3"/>
  <c r="W49" i="3"/>
  <c r="AK39" i="3"/>
  <c r="AG39" i="3"/>
  <c r="AC39" i="3"/>
  <c r="Y39" i="3"/>
  <c r="AI23" i="3"/>
  <c r="AE23" i="3"/>
  <c r="AA23" i="3"/>
  <c r="W23" i="3"/>
  <c r="AF20" i="3"/>
  <c r="AF19" i="3" s="1"/>
  <c r="AB21" i="3"/>
  <c r="AG21" i="3"/>
  <c r="AG23" i="3"/>
  <c r="AC24" i="3"/>
  <c r="AC58" i="4" s="1"/>
  <c r="AH24" i="3"/>
  <c r="AH58" i="4" s="1"/>
  <c r="AF36" i="3"/>
  <c r="AA37" i="3"/>
  <c r="W39" i="3"/>
  <c r="AB39" i="3"/>
  <c r="X40" i="3"/>
  <c r="AC40" i="3"/>
  <c r="AI40" i="3"/>
  <c r="AA46" i="3"/>
  <c r="AF46" i="3"/>
  <c r="AB47" i="3"/>
  <c r="AC49" i="3"/>
  <c r="AH49" i="3"/>
  <c r="Y50" i="3"/>
  <c r="AD50" i="3"/>
  <c r="AI50" i="3"/>
  <c r="X301" i="4"/>
  <c r="X865" i="3"/>
  <c r="X844" i="3" s="1"/>
  <c r="AH53" i="3"/>
  <c r="AH51" i="3" s="1"/>
  <c r="AD53" i="3"/>
  <c r="AD51" i="3" s="1"/>
  <c r="Z53" i="3"/>
  <c r="Z51" i="3" s="1"/>
  <c r="AJ43" i="3"/>
  <c r="AJ41" i="3" s="1"/>
  <c r="AF43" i="3"/>
  <c r="AF41" i="3" s="1"/>
  <c r="AB43" i="3"/>
  <c r="AB41" i="3" s="1"/>
  <c r="X43" i="3"/>
  <c r="X41" i="3" s="1"/>
  <c r="AH27" i="3"/>
  <c r="AH25" i="3" s="1"/>
  <c r="AD27" i="3"/>
  <c r="AD25" i="3" s="1"/>
  <c r="Z27" i="3"/>
  <c r="Z25" i="3" s="1"/>
  <c r="AH47" i="3"/>
  <c r="AD47" i="3"/>
  <c r="Z47" i="3"/>
  <c r="AJ37" i="3"/>
  <c r="AJ35" i="3" s="1"/>
  <c r="AF37" i="3"/>
  <c r="AB37" i="3"/>
  <c r="X37" i="3"/>
  <c r="AI21" i="3"/>
  <c r="AE21" i="3"/>
  <c r="AE19" i="3" s="1"/>
  <c r="AA21" i="3"/>
  <c r="W21" i="3"/>
  <c r="AI29" i="3"/>
  <c r="AI28" i="3" s="1"/>
  <c r="AE29" i="3"/>
  <c r="AE28" i="3" s="1"/>
  <c r="AA29" i="3"/>
  <c r="AA28" i="3" s="1"/>
  <c r="W29" i="3"/>
  <c r="W28" i="3" s="1"/>
  <c r="AB20" i="3"/>
  <c r="AG20" i="3"/>
  <c r="X21" i="3"/>
  <c r="AC21" i="3"/>
  <c r="AH21" i="3"/>
  <c r="X23" i="3"/>
  <c r="AC23" i="3"/>
  <c r="AH23" i="3"/>
  <c r="Y24" i="3"/>
  <c r="Y58" i="4" s="1"/>
  <c r="AD24" i="3"/>
  <c r="AD58" i="4" s="1"/>
  <c r="AI24" i="3"/>
  <c r="AI58" i="4" s="1"/>
  <c r="AA27" i="3"/>
  <c r="AA25" i="3" s="1"/>
  <c r="AF27" i="3"/>
  <c r="AF25" i="3" s="1"/>
  <c r="AK27" i="3"/>
  <c r="AK25" i="3" s="1"/>
  <c r="AB29" i="3"/>
  <c r="AB28" i="3" s="1"/>
  <c r="AG29" i="3"/>
  <c r="AG28" i="3" s="1"/>
  <c r="AB36" i="3"/>
  <c r="AG36" i="3"/>
  <c r="W37" i="3"/>
  <c r="AC37" i="3"/>
  <c r="AH37" i="3"/>
  <c r="X39" i="3"/>
  <c r="AD39" i="3"/>
  <c r="AI39" i="3"/>
  <c r="Y40" i="3"/>
  <c r="AE40" i="3"/>
  <c r="AJ40" i="3"/>
  <c r="AA43" i="3"/>
  <c r="AA41" i="3" s="1"/>
  <c r="AG43" i="3"/>
  <c r="AG41" i="3" s="1"/>
  <c r="AB46" i="3"/>
  <c r="AH46" i="3"/>
  <c r="X47" i="3"/>
  <c r="AC47" i="3"/>
  <c r="AI47" i="3"/>
  <c r="Y49" i="3"/>
  <c r="AD49" i="3"/>
  <c r="AJ49" i="3"/>
  <c r="Z50" i="3"/>
  <c r="AE50" i="3"/>
  <c r="AK50" i="3"/>
  <c r="W53" i="3"/>
  <c r="W51" i="3" s="1"/>
  <c r="AB53" i="3"/>
  <c r="AB51" i="3" s="1"/>
  <c r="AG53" i="3"/>
  <c r="AG51" i="3" s="1"/>
  <c r="X20" i="3"/>
  <c r="AC20" i="3"/>
  <c r="AI20" i="3"/>
  <c r="Y21" i="3"/>
  <c r="AD21" i="3"/>
  <c r="AJ21" i="3"/>
  <c r="AJ19" i="3" s="1"/>
  <c r="Y23" i="3"/>
  <c r="AD23" i="3"/>
  <c r="AJ23" i="3"/>
  <c r="Z24" i="3"/>
  <c r="Z58" i="4" s="1"/>
  <c r="AE24" i="3"/>
  <c r="AE58" i="4" s="1"/>
  <c r="AK24" i="3"/>
  <c r="W27" i="3"/>
  <c r="W25" i="3" s="1"/>
  <c r="AB27" i="3"/>
  <c r="AB25" i="3" s="1"/>
  <c r="AG27" i="3"/>
  <c r="AG25" i="3" s="1"/>
  <c r="X29" i="3"/>
  <c r="X28" i="3" s="1"/>
  <c r="AC29" i="3"/>
  <c r="AC28" i="3" s="1"/>
  <c r="AH29" i="3"/>
  <c r="AH28" i="3" s="1"/>
  <c r="X36" i="3"/>
  <c r="AC36" i="3"/>
  <c r="AH36" i="3"/>
  <c r="Y37" i="3"/>
  <c r="Y35" i="3" s="1"/>
  <c r="AD37" i="3"/>
  <c r="AI37" i="3"/>
  <c r="Z39" i="3"/>
  <c r="AE39" i="3"/>
  <c r="AJ39" i="3"/>
  <c r="AA40" i="3"/>
  <c r="AA38" i="3" s="1"/>
  <c r="AF40" i="3"/>
  <c r="AK40" i="3"/>
  <c r="W43" i="3"/>
  <c r="W41" i="3" s="1"/>
  <c r="AC43" i="3"/>
  <c r="AC41" i="3" s="1"/>
  <c r="AH43" i="3"/>
  <c r="AH41" i="3" s="1"/>
  <c r="X46" i="3"/>
  <c r="AD46" i="3"/>
  <c r="AI46" i="3"/>
  <c r="Y47" i="3"/>
  <c r="AE47" i="3"/>
  <c r="AJ47" i="3"/>
  <c r="Z49" i="3"/>
  <c r="AF49" i="3"/>
  <c r="AK49" i="3"/>
  <c r="AA50" i="3"/>
  <c r="AG50" i="3"/>
  <c r="AG48" i="3" s="1"/>
  <c r="X53" i="3"/>
  <c r="X51" i="3" s="1"/>
  <c r="AC53" i="3"/>
  <c r="AC51" i="3" s="1"/>
  <c r="AI53" i="3"/>
  <c r="AI51" i="3" s="1"/>
  <c r="P1076" i="3"/>
  <c r="P1075" i="3" s="1"/>
  <c r="Z1075" i="3"/>
  <c r="S1311" i="4"/>
  <c r="AF1316" i="4"/>
  <c r="AG844" i="3"/>
  <c r="AK844" i="3"/>
  <c r="Z300" i="4"/>
  <c r="AD300" i="4"/>
  <c r="AD304" i="4" s="1"/>
  <c r="AH300" i="4"/>
  <c r="AH304" i="4" s="1"/>
  <c r="X24" i="3"/>
  <c r="X58" i="4" s="1"/>
  <c r="AB24" i="3"/>
  <c r="AB58" i="4" s="1"/>
  <c r="AF24" i="3"/>
  <c r="AJ24" i="3"/>
  <c r="AJ58" i="4" s="1"/>
  <c r="S34" i="3"/>
  <c r="S265" i="4" s="1"/>
  <c r="S266" i="4" s="1"/>
  <c r="Z40" i="3"/>
  <c r="AD40" i="3"/>
  <c r="AH40" i="3"/>
  <c r="U44" i="3"/>
  <c r="U268" i="4" s="1"/>
  <c r="X50" i="3"/>
  <c r="AB50" i="3"/>
  <c r="AB48" i="3" s="1"/>
  <c r="AF50" i="3"/>
  <c r="AJ50" i="3"/>
  <c r="AD844" i="3"/>
  <c r="AH844" i="3"/>
  <c r="Q118" i="2"/>
  <c r="T118" i="2" s="1"/>
  <c r="W20" i="3" s="1"/>
  <c r="V126" i="2"/>
  <c r="T1322" i="4"/>
  <c r="V208" i="3"/>
  <c r="X222" i="3"/>
  <c r="X124" i="3"/>
  <c r="L211" i="4"/>
  <c r="P211" i="4"/>
  <c r="T211" i="4"/>
  <c r="X211" i="4"/>
  <c r="AB211" i="4"/>
  <c r="AF211" i="4"/>
  <c r="AJ211" i="4"/>
  <c r="Z844" i="3"/>
  <c r="U133" i="3"/>
  <c r="W844" i="3"/>
  <c r="AA844" i="3"/>
  <c r="AE844" i="3"/>
  <c r="AI844" i="3"/>
  <c r="S1344" i="4"/>
  <c r="S1312" i="4" s="1"/>
  <c r="S713" i="4"/>
  <c r="R713" i="4" s="1"/>
  <c r="Q713" i="4" s="1"/>
  <c r="AA1355" i="4"/>
  <c r="AA738" i="4"/>
  <c r="AA741" i="4"/>
  <c r="AA740" i="4"/>
  <c r="AA739" i="4"/>
  <c r="AE1355" i="4"/>
  <c r="AE738" i="4"/>
  <c r="AE739" i="4"/>
  <c r="AE741" i="4"/>
  <c r="AE740" i="4"/>
  <c r="AI1355" i="4"/>
  <c r="AI738" i="4"/>
  <c r="AI741" i="4"/>
  <c r="AI739" i="4"/>
  <c r="AI740" i="4"/>
  <c r="U1344" i="4"/>
  <c r="U1324" i="4" s="1"/>
  <c r="U713" i="4"/>
  <c r="V713" i="4" s="1"/>
  <c r="W713" i="4" s="1"/>
  <c r="X713" i="4" s="1"/>
  <c r="Y713" i="4" s="1"/>
  <c r="Z713" i="4" s="1"/>
  <c r="AA713" i="4" s="1"/>
  <c r="AB713" i="4" s="1"/>
  <c r="AC713" i="4" s="1"/>
  <c r="AD713" i="4" s="1"/>
  <c r="AE713" i="4" s="1"/>
  <c r="AF713" i="4" s="1"/>
  <c r="AG713" i="4" s="1"/>
  <c r="AH713" i="4" s="1"/>
  <c r="AI713" i="4" s="1"/>
  <c r="AJ713" i="4" s="1"/>
  <c r="AK713" i="4" s="1"/>
  <c r="X1355" i="4"/>
  <c r="X741" i="4"/>
  <c r="X738" i="4"/>
  <c r="X739" i="4"/>
  <c r="X740" i="4"/>
  <c r="AB1355" i="4"/>
  <c r="AB739" i="4"/>
  <c r="AB738" i="4"/>
  <c r="AB741" i="4"/>
  <c r="AB740" i="4"/>
  <c r="AF1355" i="4"/>
  <c r="AF739" i="4"/>
  <c r="AF740" i="4"/>
  <c r="AF738" i="4"/>
  <c r="AF741" i="4"/>
  <c r="AJ1355" i="4"/>
  <c r="AJ739" i="4"/>
  <c r="AJ738" i="4"/>
  <c r="AJ741" i="4"/>
  <c r="AJ740" i="4"/>
  <c r="T44" i="3"/>
  <c r="T268" i="4" s="1"/>
  <c r="X103" i="3"/>
  <c r="Y421" i="4"/>
  <c r="W300" i="4"/>
  <c r="AA300" i="4"/>
  <c r="AA304" i="4" s="1"/>
  <c r="AE300" i="4"/>
  <c r="AE304" i="4" s="1"/>
  <c r="AI300" i="4"/>
  <c r="AI304" i="4" s="1"/>
  <c r="AB844" i="3"/>
  <c r="AF844" i="3"/>
  <c r="AJ844" i="3"/>
  <c r="Y1355" i="4"/>
  <c r="Y738" i="4"/>
  <c r="Y739" i="4"/>
  <c r="Y740" i="4"/>
  <c r="Y741" i="4"/>
  <c r="AC1355" i="4"/>
  <c r="AC740" i="4"/>
  <c r="AC739" i="4"/>
  <c r="AC741" i="4"/>
  <c r="AC738" i="4"/>
  <c r="AG1355" i="4"/>
  <c r="AG740" i="4"/>
  <c r="AG741" i="4"/>
  <c r="AG739" i="4"/>
  <c r="AG738" i="4"/>
  <c r="AK1355" i="4"/>
  <c r="AK740" i="4"/>
  <c r="AK739" i="4"/>
  <c r="AK738" i="4"/>
  <c r="AK741" i="4"/>
  <c r="AB153" i="4"/>
  <c r="AB594" i="4" s="1"/>
  <c r="AB593" i="4" s="1"/>
  <c r="AJ153" i="4"/>
  <c r="AJ594" i="4" s="1"/>
  <c r="AJ593" i="4" s="1"/>
  <c r="X209" i="3"/>
  <c r="Z421" i="4"/>
  <c r="Y875" i="3"/>
  <c r="Y844" i="3" s="1"/>
  <c r="Z1355" i="4"/>
  <c r="Z741" i="4"/>
  <c r="Z740" i="4"/>
  <c r="Z739" i="4"/>
  <c r="Z738" i="4"/>
  <c r="AD1355" i="4"/>
  <c r="AD741" i="4"/>
  <c r="AD740" i="4"/>
  <c r="AD738" i="4"/>
  <c r="AD739" i="4"/>
  <c r="AH1355" i="4"/>
  <c r="AH741" i="4"/>
  <c r="AH738" i="4"/>
  <c r="AH740" i="4"/>
  <c r="AH739" i="4"/>
  <c r="W708" i="4"/>
  <c r="AF950" i="4"/>
  <c r="AD1310" i="4"/>
  <c r="AK164" i="4"/>
  <c r="X1308" i="4"/>
  <c r="X1322" i="4"/>
  <c r="Y408" i="4"/>
  <c r="X678" i="4"/>
  <c r="Q1316" i="4"/>
  <c r="V202" i="3"/>
  <c r="Y1023" i="3"/>
  <c r="Y153" i="4" s="1"/>
  <c r="X188" i="3"/>
  <c r="X341" i="4" s="1"/>
  <c r="X1320" i="4"/>
  <c r="Y1323" i="4"/>
  <c r="AD1316" i="4"/>
  <c r="AH1316" i="4"/>
  <c r="AG1316" i="4"/>
  <c r="R1049" i="3"/>
  <c r="R153" i="4" s="1"/>
  <c r="Y1320" i="4"/>
  <c r="AH1323" i="4"/>
  <c r="AD1323" i="4"/>
  <c r="Y151" i="4"/>
  <c r="Y148" i="4" s="1"/>
  <c r="U1308" i="4"/>
  <c r="AC1316" i="4"/>
  <c r="AK1316" i="4"/>
  <c r="Y160" i="4"/>
  <c r="S121" i="3"/>
  <c r="R121" i="3" s="1"/>
  <c r="Q121" i="3" s="1"/>
  <c r="T120" i="3"/>
  <c r="X187" i="3"/>
  <c r="V110" i="3"/>
  <c r="V125" i="3"/>
  <c r="V577" i="4" s="1"/>
  <c r="V124" i="3"/>
  <c r="X186" i="3"/>
  <c r="X342" i="4" s="1"/>
  <c r="S153" i="4"/>
  <c r="W153" i="4"/>
  <c r="AC153" i="4"/>
  <c r="AC594" i="4" s="1"/>
  <c r="AC593" i="4" s="1"/>
  <c r="AK153" i="4"/>
  <c r="AK594" i="4" s="1"/>
  <c r="AK593" i="4" s="1"/>
  <c r="Y678" i="4"/>
  <c r="AH1310" i="4"/>
  <c r="AD1320" i="4"/>
  <c r="AE1310" i="4"/>
  <c r="AI1310" i="4"/>
  <c r="V44" i="3"/>
  <c r="V268" i="4" s="1"/>
  <c r="X208" i="3"/>
  <c r="V222" i="3"/>
  <c r="AB300" i="4"/>
  <c r="AB304" i="4" s="1"/>
  <c r="AF300" i="4"/>
  <c r="AF304" i="4" s="1"/>
  <c r="AJ300" i="4"/>
  <c r="AJ304" i="4" s="1"/>
  <c r="T153" i="4"/>
  <c r="X1075" i="3"/>
  <c r="Y1308" i="4"/>
  <c r="AH1314" i="4"/>
  <c r="AH1320" i="4"/>
  <c r="AB1311" i="4"/>
  <c r="AF1311" i="4"/>
  <c r="AJ1311" i="4"/>
  <c r="S1310" i="4"/>
  <c r="W1310" i="4"/>
  <c r="AD1311" i="4"/>
  <c r="AH1311" i="4"/>
  <c r="Q1317" i="4"/>
  <c r="U1317" i="4"/>
  <c r="Y1317" i="4"/>
  <c r="AC1317" i="4"/>
  <c r="AG1317" i="4"/>
  <c r="AK1317" i="4"/>
  <c r="U1310" i="4"/>
  <c r="Y1310" i="4"/>
  <c r="AC1310" i="4"/>
  <c r="AG1310" i="4"/>
  <c r="AK1310" i="4"/>
  <c r="T1318" i="4"/>
  <c r="S44" i="3"/>
  <c r="S268" i="4" s="1"/>
  <c r="S269" i="4" s="1"/>
  <c r="X110" i="3"/>
  <c r="X125" i="3"/>
  <c r="X577" i="4" s="1"/>
  <c r="V209" i="3"/>
  <c r="Y300" i="4"/>
  <c r="AC300" i="4"/>
  <c r="AC304" i="4" s="1"/>
  <c r="AG300" i="4"/>
  <c r="AG304" i="4" s="1"/>
  <c r="AK300" i="4"/>
  <c r="AK304" i="4" s="1"/>
  <c r="U153" i="4"/>
  <c r="AA153" i="4"/>
  <c r="AA594" i="4" s="1"/>
  <c r="AA593" i="4" s="1"/>
  <c r="AI153" i="4"/>
  <c r="AI594" i="4" s="1"/>
  <c r="AI593" i="4" s="1"/>
  <c r="Q678" i="4"/>
  <c r="AK678" i="4"/>
  <c r="T1311" i="4"/>
  <c r="AD1317" i="4"/>
  <c r="AH1317" i="4"/>
  <c r="Q1323" i="4"/>
  <c r="U1323" i="4"/>
  <c r="AC1323" i="4"/>
  <c r="U1316" i="4"/>
  <c r="Y1316" i="4"/>
  <c r="AG678" i="4"/>
  <c r="T1314" i="4"/>
  <c r="AG1323" i="4"/>
  <c r="V593" i="4"/>
  <c r="T1308" i="4"/>
  <c r="AG1308" i="4"/>
  <c r="Q1310" i="4"/>
  <c r="X1311" i="4"/>
  <c r="S1317" i="4"/>
  <c r="AC1308" i="4"/>
  <c r="AK1308" i="4"/>
  <c r="AF678" i="4"/>
  <c r="W1308" i="4"/>
  <c r="AD1308" i="4"/>
  <c r="X1316" i="4"/>
  <c r="U1320" i="4"/>
  <c r="V1317" i="4"/>
  <c r="AA1317" i="4"/>
  <c r="AE1317" i="4"/>
  <c r="AI1317" i="4"/>
  <c r="Z1333" i="4"/>
  <c r="Z1316" i="4" s="1"/>
  <c r="AA1322" i="4"/>
  <c r="Q1311" i="4"/>
  <c r="U1311" i="4"/>
  <c r="Y1311" i="4"/>
  <c r="AC1311" i="4"/>
  <c r="AG1311" i="4"/>
  <c r="AK1311" i="4"/>
  <c r="T1317" i="4"/>
  <c r="X1317" i="4"/>
  <c r="AB1317" i="4"/>
  <c r="AF1317" i="4"/>
  <c r="AJ1317" i="4"/>
  <c r="S1323" i="4"/>
  <c r="T1310" i="4"/>
  <c r="X1310" i="4"/>
  <c r="AD1322" i="4"/>
  <c r="AH1322" i="4"/>
  <c r="T1324" i="4"/>
  <c r="AA196" i="3"/>
  <c r="AB196" i="3" s="1"/>
  <c r="Z201" i="3"/>
  <c r="AA201" i="3" s="1"/>
  <c r="AB201" i="3" s="1"/>
  <c r="AC201" i="3" s="1"/>
  <c r="AD201" i="3" s="1"/>
  <c r="AE201" i="3" s="1"/>
  <c r="AF201" i="3" s="1"/>
  <c r="AG201" i="3" s="1"/>
  <c r="AH201" i="3" s="1"/>
  <c r="AI201" i="3" s="1"/>
  <c r="AJ201" i="3" s="1"/>
  <c r="AK201" i="3" s="1"/>
  <c r="Y189" i="3"/>
  <c r="X1023" i="3"/>
  <c r="V187" i="3"/>
  <c r="U190" i="3"/>
  <c r="V186" i="3"/>
  <c r="V342" i="4" s="1"/>
  <c r="Y193" i="3"/>
  <c r="Y187" i="3" s="1"/>
  <c r="X202" i="3"/>
  <c r="S678" i="4"/>
  <c r="AI678" i="4"/>
  <c r="AE678" i="4"/>
  <c r="X950" i="4"/>
  <c r="AB950" i="4"/>
  <c r="R1317" i="4"/>
  <c r="R1323" i="4"/>
  <c r="V1316" i="4"/>
  <c r="V1322" i="4"/>
  <c r="AE1323" i="4"/>
  <c r="AI1323" i="4"/>
  <c r="Z203" i="3"/>
  <c r="Z202" i="3" s="1"/>
  <c r="Y202" i="3"/>
  <c r="X189" i="3"/>
  <c r="U202" i="3"/>
  <c r="P1049" i="3"/>
  <c r="AC950" i="4"/>
  <c r="Q950" i="4"/>
  <c r="U950" i="4"/>
  <c r="Y950" i="4"/>
  <c r="AG950" i="4"/>
  <c r="AK950" i="4"/>
  <c r="R1311" i="4"/>
  <c r="V1311" i="4"/>
  <c r="V189" i="3"/>
  <c r="Z1023" i="3"/>
  <c r="T520" i="4"/>
  <c r="X520" i="4"/>
  <c r="AB520" i="4"/>
  <c r="AF520" i="4"/>
  <c r="AJ520" i="4"/>
  <c r="I593" i="4"/>
  <c r="L611" i="4" s="1"/>
  <c r="M593" i="4"/>
  <c r="Q593" i="4"/>
  <c r="U593" i="4"/>
  <c r="Y593" i="4"/>
  <c r="T678" i="4"/>
  <c r="AB678" i="4"/>
  <c r="Q1047" i="4"/>
  <c r="U1047" i="4"/>
  <c r="Y1047" i="4"/>
  <c r="AC1047" i="4"/>
  <c r="AG1047" i="4"/>
  <c r="AK1047" i="4"/>
  <c r="W340" i="4"/>
  <c r="Q520" i="4"/>
  <c r="U520" i="4"/>
  <c r="Y520" i="4"/>
  <c r="AC520" i="4"/>
  <c r="AG520" i="4"/>
  <c r="AK520" i="4"/>
  <c r="N593" i="4"/>
  <c r="U678" i="4"/>
  <c r="AC678" i="4"/>
  <c r="S950" i="4"/>
  <c r="W950" i="4"/>
  <c r="AC1320" i="4"/>
  <c r="AK1320" i="4"/>
  <c r="AF31" i="3"/>
  <c r="AA397" i="4"/>
  <c r="AE397" i="4"/>
  <c r="AI397" i="4"/>
  <c r="S606" i="4"/>
  <c r="R1310" i="4"/>
  <c r="AA1310" i="4"/>
  <c r="AA1311" i="4"/>
  <c r="AI1311" i="4"/>
  <c r="V1314" i="4"/>
  <c r="R1316" i="4"/>
  <c r="AE1322" i="4"/>
  <c r="S1320" i="4"/>
  <c r="S1314" i="4"/>
  <c r="AB1320" i="4"/>
  <c r="AB1308" i="4"/>
  <c r="AF1314" i="4"/>
  <c r="AF1308" i="4"/>
  <c r="AJ1320" i="4"/>
  <c r="AJ1314" i="4"/>
  <c r="AJ1308" i="4"/>
  <c r="W1323" i="4"/>
  <c r="W1311" i="4"/>
  <c r="AB1322" i="4"/>
  <c r="AB1316" i="4"/>
  <c r="AB1310" i="4"/>
  <c r="AF1310" i="4"/>
  <c r="AJ1322" i="4"/>
  <c r="AJ1310" i="4"/>
  <c r="S1322" i="4"/>
  <c r="W1322" i="4"/>
  <c r="AA1316" i="4"/>
  <c r="AE1316" i="4"/>
  <c r="AI1322" i="4"/>
  <c r="AB31" i="3"/>
  <c r="O148" i="4"/>
  <c r="AB397" i="4"/>
  <c r="AF397" i="4"/>
  <c r="AJ397" i="4"/>
  <c r="R520" i="4"/>
  <c r="V520" i="4"/>
  <c r="Z520" i="4"/>
  <c r="AD520" i="4"/>
  <c r="AH520" i="4"/>
  <c r="S607" i="4"/>
  <c r="J593" i="4"/>
  <c r="R593" i="4"/>
  <c r="AA678" i="4"/>
  <c r="AI1308" i="4"/>
  <c r="T1312" i="4"/>
  <c r="W1314" i="4"/>
  <c r="T1316" i="4"/>
  <c r="AF1322" i="4"/>
  <c r="V1323" i="4"/>
  <c r="R678" i="4"/>
  <c r="V678" i="4"/>
  <c r="Z678" i="4"/>
  <c r="AD678" i="4"/>
  <c r="AH678" i="4"/>
  <c r="AA1320" i="4"/>
  <c r="AA1314" i="4"/>
  <c r="AE1320" i="4"/>
  <c r="AE1314" i="4"/>
  <c r="AA1323" i="4"/>
  <c r="X31" i="3"/>
  <c r="AJ31" i="3"/>
  <c r="Z395" i="4"/>
  <c r="AD395" i="4"/>
  <c r="AH395" i="4"/>
  <c r="Y397" i="4"/>
  <c r="AC397" i="4"/>
  <c r="AG397" i="4"/>
  <c r="AK397" i="4"/>
  <c r="T593" i="4"/>
  <c r="W593" i="4"/>
  <c r="S593" i="4"/>
  <c r="O593" i="4"/>
  <c r="P611" i="4" s="1"/>
  <c r="K593" i="4"/>
  <c r="X593" i="4"/>
  <c r="W678" i="4"/>
  <c r="N1046" i="4"/>
  <c r="R1046" i="4"/>
  <c r="V1046" i="4"/>
  <c r="Z1046" i="4"/>
  <c r="AD1046" i="4"/>
  <c r="AH1046" i="4"/>
  <c r="R1308" i="4"/>
  <c r="V1308" i="4"/>
  <c r="AE1308" i="4"/>
  <c r="V1310" i="4"/>
  <c r="AE1311" i="4"/>
  <c r="R1314" i="4"/>
  <c r="AI1314" i="4"/>
  <c r="AJ1316" i="4"/>
  <c r="W1317" i="4"/>
  <c r="S520" i="4"/>
  <c r="W520" i="4"/>
  <c r="AA520" i="4"/>
  <c r="AE520" i="4"/>
  <c r="AI520" i="4"/>
  <c r="AA950" i="4"/>
  <c r="AE950" i="4"/>
  <c r="AI950" i="4"/>
  <c r="L1046" i="4"/>
  <c r="P1046" i="4"/>
  <c r="T1046" i="4"/>
  <c r="X1046" i="4"/>
  <c r="AB1046" i="4"/>
  <c r="AF1046" i="4"/>
  <c r="AJ1046" i="4"/>
  <c r="Z1407" i="4"/>
  <c r="S605" i="4"/>
  <c r="AA605" i="4"/>
  <c r="AH950" i="4"/>
  <c r="M1046" i="4"/>
  <c r="Q1046" i="4"/>
  <c r="U1046" i="4"/>
  <c r="Y1046" i="4"/>
  <c r="AC1046" i="4"/>
  <c r="AG1046" i="4"/>
  <c r="AK1046" i="4"/>
  <c r="Z1327" i="4"/>
  <c r="Y25" i="3"/>
  <c r="W31" i="3"/>
  <c r="Z31" i="3"/>
  <c r="AD31" i="3"/>
  <c r="Y41" i="3"/>
  <c r="AK41" i="3"/>
  <c r="AE31" i="3"/>
  <c r="Z41" i="3"/>
  <c r="X25" i="3"/>
  <c r="AA31" i="3"/>
  <c r="AI31" i="3"/>
  <c r="AI25" i="3"/>
  <c r="AJ25" i="3"/>
  <c r="Y31" i="3"/>
  <c r="AC31" i="3"/>
  <c r="AG31" i="3"/>
  <c r="AK31" i="3"/>
  <c r="AH31" i="3"/>
  <c r="Z104" i="3"/>
  <c r="V122" i="3"/>
  <c r="U120" i="3"/>
  <c r="R203" i="3"/>
  <c r="S202" i="3"/>
  <c r="V119" i="3"/>
  <c r="S196" i="3"/>
  <c r="T189" i="3"/>
  <c r="T111" i="3"/>
  <c r="U110" i="3"/>
  <c r="T104" i="3"/>
  <c r="Z111" i="3"/>
  <c r="Y110" i="3"/>
  <c r="Z121" i="3"/>
  <c r="V103" i="3"/>
  <c r="Y133" i="3"/>
  <c r="K211" i="4"/>
  <c r="O211" i="4"/>
  <c r="S211" i="4"/>
  <c r="W211" i="4"/>
  <c r="AA211" i="4"/>
  <c r="AE211" i="4"/>
  <c r="AI211" i="4"/>
  <c r="L210" i="4"/>
  <c r="P210" i="4"/>
  <c r="T210" i="4"/>
  <c r="X210" i="4"/>
  <c r="AB210" i="4"/>
  <c r="AF210" i="4"/>
  <c r="AJ210" i="4"/>
  <c r="V188" i="3"/>
  <c r="V341" i="4" s="1"/>
  <c r="U189" i="3"/>
  <c r="T202" i="3"/>
  <c r="Y208" i="3"/>
  <c r="Z210" i="3"/>
  <c r="Y209" i="3"/>
  <c r="W575" i="4"/>
  <c r="I210" i="4"/>
  <c r="M210" i="4"/>
  <c r="Q210" i="4"/>
  <c r="U210" i="4"/>
  <c r="Y210" i="4"/>
  <c r="AC210" i="4"/>
  <c r="AG210" i="4"/>
  <c r="AK210" i="4"/>
  <c r="Y146" i="4"/>
  <c r="Y143" i="4" s="1"/>
  <c r="I211" i="4"/>
  <c r="M211" i="4"/>
  <c r="Q211" i="4"/>
  <c r="U211" i="4"/>
  <c r="Y211" i="4"/>
  <c r="AC211" i="4"/>
  <c r="AG211" i="4"/>
  <c r="AK211" i="4"/>
  <c r="J210" i="4"/>
  <c r="N210" i="4"/>
  <c r="R210" i="4"/>
  <c r="V210" i="4"/>
  <c r="Z210" i="4"/>
  <c r="AD210" i="4"/>
  <c r="AH210" i="4"/>
  <c r="AA190" i="3"/>
  <c r="T223" i="3"/>
  <c r="U222" i="3"/>
  <c r="Y107" i="3"/>
  <c r="J211" i="4"/>
  <c r="N211" i="4"/>
  <c r="R211" i="4"/>
  <c r="V211" i="4"/>
  <c r="Z211" i="4"/>
  <c r="AD211" i="4"/>
  <c r="AH211" i="4"/>
  <c r="K210" i="4"/>
  <c r="O210" i="4"/>
  <c r="S210" i="4"/>
  <c r="W210" i="4"/>
  <c r="AA210" i="4"/>
  <c r="AE210" i="4"/>
  <c r="AI210" i="4"/>
  <c r="U208" i="3"/>
  <c r="T210" i="3"/>
  <c r="U209" i="3"/>
  <c r="Z223" i="3"/>
  <c r="Y222" i="3"/>
  <c r="O146" i="4"/>
  <c r="O143" i="4" s="1"/>
  <c r="I582" i="4"/>
  <c r="I394" i="4"/>
  <c r="M582" i="4"/>
  <c r="M394" i="4"/>
  <c r="Q582" i="4"/>
  <c r="Q394" i="4"/>
  <c r="U582" i="4"/>
  <c r="U394" i="4"/>
  <c r="Y582" i="4"/>
  <c r="Y394" i="4"/>
  <c r="AC582" i="4"/>
  <c r="AC394" i="4"/>
  <c r="AG582" i="4"/>
  <c r="AG394" i="4"/>
  <c r="AK582" i="4"/>
  <c r="AK394" i="4"/>
  <c r="L1408" i="4"/>
  <c r="L413" i="4"/>
  <c r="P1408" i="4"/>
  <c r="P413" i="4"/>
  <c r="T1408" i="4"/>
  <c r="T413" i="4"/>
  <c r="X1408" i="4"/>
  <c r="X413" i="4"/>
  <c r="AB1408" i="4"/>
  <c r="AB413" i="4"/>
  <c r="AB418" i="4" s="1"/>
  <c r="AF1408" i="4"/>
  <c r="AF413" i="4"/>
  <c r="AF418" i="4" s="1"/>
  <c r="AJ1408" i="4"/>
  <c r="AJ413" i="4"/>
  <c r="AJ418" i="4" s="1"/>
  <c r="J395" i="4"/>
  <c r="J400" i="4"/>
  <c r="N395" i="4"/>
  <c r="N400" i="4"/>
  <c r="R395" i="4"/>
  <c r="R400" i="4"/>
  <c r="V395" i="4"/>
  <c r="V400" i="4"/>
  <c r="R407" i="4"/>
  <c r="V407" i="4"/>
  <c r="J417" i="4"/>
  <c r="N417" i="4"/>
  <c r="N416" i="4" s="1"/>
  <c r="N420" i="4" s="1"/>
  <c r="R417" i="4"/>
  <c r="V417" i="4"/>
  <c r="V416" i="4" s="1"/>
  <c r="V420" i="4" s="1"/>
  <c r="Q1049" i="3"/>
  <c r="Q153" i="4" s="1"/>
  <c r="P1034" i="4"/>
  <c r="P139" i="4"/>
  <c r="T139" i="4"/>
  <c r="X139" i="4"/>
  <c r="AB139" i="4"/>
  <c r="AF139" i="4"/>
  <c r="AJ139" i="4"/>
  <c r="AE153" i="4"/>
  <c r="AE594" i="4" s="1"/>
  <c r="AE593" i="4" s="1"/>
  <c r="J582" i="4"/>
  <c r="J394" i="4"/>
  <c r="N582" i="4"/>
  <c r="N394" i="4"/>
  <c r="R582" i="4"/>
  <c r="R394" i="4"/>
  <c r="V582" i="4"/>
  <c r="V394" i="4"/>
  <c r="Z582" i="4"/>
  <c r="Z394" i="4"/>
  <c r="AD582" i="4"/>
  <c r="AD394" i="4"/>
  <c r="AH582" i="4"/>
  <c r="AH394" i="4"/>
  <c r="I1408" i="4"/>
  <c r="I413" i="4"/>
  <c r="M1408" i="4"/>
  <c r="M413" i="4"/>
  <c r="Q1408" i="4"/>
  <c r="Q413" i="4"/>
  <c r="U1408" i="4"/>
  <c r="U413" i="4"/>
  <c r="Y1408" i="4"/>
  <c r="Y413" i="4"/>
  <c r="Y418" i="4" s="1"/>
  <c r="AC1408" i="4"/>
  <c r="AC413" i="4"/>
  <c r="AC418" i="4" s="1"/>
  <c r="AG1408" i="4"/>
  <c r="AG413" i="4"/>
  <c r="AG418" i="4" s="1"/>
  <c r="AK1408" i="4"/>
  <c r="AK413" i="4"/>
  <c r="K395" i="4"/>
  <c r="K400" i="4"/>
  <c r="O395" i="4"/>
  <c r="O400" i="4"/>
  <c r="S395" i="4"/>
  <c r="S400" i="4"/>
  <c r="W395" i="4"/>
  <c r="W400" i="4"/>
  <c r="S407" i="4"/>
  <c r="W407" i="4"/>
  <c r="K417" i="4"/>
  <c r="K416" i="4" s="1"/>
  <c r="K420" i="4" s="1"/>
  <c r="O417" i="4"/>
  <c r="O416" i="4" s="1"/>
  <c r="O420" i="4" s="1"/>
  <c r="S417" i="4"/>
  <c r="W417" i="4"/>
  <c r="W416" i="4" s="1"/>
  <c r="W420" i="4" s="1"/>
  <c r="Q1034" i="4"/>
  <c r="Q139" i="4"/>
  <c r="U139" i="4"/>
  <c r="Y139" i="4"/>
  <c r="AC139" i="4"/>
  <c r="AG139" i="4"/>
  <c r="AK139" i="4"/>
  <c r="AF153" i="4"/>
  <c r="AF594" i="4" s="1"/>
  <c r="AF593" i="4" s="1"/>
  <c r="K582" i="4"/>
  <c r="K394" i="4"/>
  <c r="O582" i="4"/>
  <c r="O394" i="4"/>
  <c r="S582" i="4"/>
  <c r="S394" i="4"/>
  <c r="W582" i="4"/>
  <c r="W394" i="4"/>
  <c r="AA582" i="4"/>
  <c r="AA394" i="4"/>
  <c r="AE582" i="4"/>
  <c r="AE394" i="4"/>
  <c r="AI582" i="4"/>
  <c r="AI394" i="4"/>
  <c r="J1408" i="4"/>
  <c r="J413" i="4"/>
  <c r="N1408" i="4"/>
  <c r="N413" i="4"/>
  <c r="R1408" i="4"/>
  <c r="R413" i="4"/>
  <c r="V1408" i="4"/>
  <c r="V413" i="4"/>
  <c r="Z1408" i="4"/>
  <c r="Z413" i="4"/>
  <c r="Z418" i="4" s="1"/>
  <c r="AD1408" i="4"/>
  <c r="AD413" i="4"/>
  <c r="AD418" i="4" s="1"/>
  <c r="AH1408" i="4"/>
  <c r="AH413" i="4"/>
  <c r="L395" i="4"/>
  <c r="L400" i="4"/>
  <c r="P395" i="4"/>
  <c r="P400" i="4"/>
  <c r="T395" i="4"/>
  <c r="T400" i="4"/>
  <c r="X395" i="4"/>
  <c r="X400" i="4"/>
  <c r="T407" i="4"/>
  <c r="T408" i="4" s="1"/>
  <c r="X407" i="4"/>
  <c r="X408" i="4" s="1"/>
  <c r="L417" i="4"/>
  <c r="L416" i="4" s="1"/>
  <c r="L420" i="4" s="1"/>
  <c r="P417" i="4"/>
  <c r="T417" i="4"/>
  <c r="X417" i="4"/>
  <c r="X416" i="4" s="1"/>
  <c r="X420" i="4" s="1"/>
  <c r="R1034" i="4"/>
  <c r="N139" i="4"/>
  <c r="R139" i="4"/>
  <c r="V139" i="4"/>
  <c r="Z139" i="4"/>
  <c r="AD139" i="4"/>
  <c r="AH139" i="4"/>
  <c r="AG153" i="4"/>
  <c r="AG594" i="4" s="1"/>
  <c r="AG593" i="4" s="1"/>
  <c r="L582" i="4"/>
  <c r="L394" i="4"/>
  <c r="P582" i="4"/>
  <c r="P394" i="4"/>
  <c r="T582" i="4"/>
  <c r="T394" i="4"/>
  <c r="X582" i="4"/>
  <c r="X394" i="4"/>
  <c r="AB582" i="4"/>
  <c r="AB394" i="4"/>
  <c r="AF582" i="4"/>
  <c r="AF394" i="4"/>
  <c r="AJ582" i="4"/>
  <c r="AJ394" i="4"/>
  <c r="K1408" i="4"/>
  <c r="K413" i="4"/>
  <c r="O1408" i="4"/>
  <c r="O413" i="4"/>
  <c r="S1408" i="4"/>
  <c r="S413" i="4"/>
  <c r="W1408" i="4"/>
  <c r="W413" i="4"/>
  <c r="AA1408" i="4"/>
  <c r="AA413" i="4"/>
  <c r="AA418" i="4" s="1"/>
  <c r="AE1408" i="4"/>
  <c r="AE413" i="4"/>
  <c r="AE418" i="4" s="1"/>
  <c r="AI1408" i="4"/>
  <c r="AI413" i="4"/>
  <c r="AI418" i="4" s="1"/>
  <c r="I400" i="4"/>
  <c r="I395" i="4"/>
  <c r="M400" i="4"/>
  <c r="M395" i="4"/>
  <c r="Q400" i="4"/>
  <c r="Q395" i="4"/>
  <c r="U400" i="4"/>
  <c r="U395" i="4"/>
  <c r="Q407" i="4"/>
  <c r="Q408" i="4" s="1"/>
  <c r="U407" i="4"/>
  <c r="I421" i="4"/>
  <c r="I417" i="4"/>
  <c r="M417" i="4"/>
  <c r="M416" i="4" s="1"/>
  <c r="M420" i="4" s="1"/>
  <c r="Q417" i="4"/>
  <c r="U417" i="4"/>
  <c r="O139" i="4"/>
  <c r="S139" i="4"/>
  <c r="W139" i="4"/>
  <c r="AA139" i="4"/>
  <c r="AE139" i="4"/>
  <c r="AI139" i="4"/>
  <c r="V153" i="4"/>
  <c r="AD153" i="4"/>
  <c r="AD594" i="4" s="1"/>
  <c r="AD593" i="4" s="1"/>
  <c r="AH153" i="4"/>
  <c r="AH594" i="4" s="1"/>
  <c r="AH593" i="4" s="1"/>
  <c r="R164" i="4"/>
  <c r="V164" i="4"/>
  <c r="Z164" i="4"/>
  <c r="AD164" i="4"/>
  <c r="AH164" i="4"/>
  <c r="O164" i="4"/>
  <c r="P163" i="4" s="1"/>
  <c r="S164" i="4"/>
  <c r="W164" i="4"/>
  <c r="AA164" i="4"/>
  <c r="AE164" i="4"/>
  <c r="AI164" i="4"/>
  <c r="P164" i="4"/>
  <c r="T164" i="4"/>
  <c r="X164" i="4"/>
  <c r="AB164" i="4"/>
  <c r="AF164" i="4"/>
  <c r="AJ164" i="4"/>
  <c r="Q164" i="4"/>
  <c r="U164" i="4"/>
  <c r="Y164" i="4"/>
  <c r="Z163" i="4" s="1"/>
  <c r="AC164" i="4"/>
  <c r="AG164" i="4"/>
  <c r="S514" i="4"/>
  <c r="W514" i="4"/>
  <c r="T514" i="4"/>
  <c r="X514" i="4"/>
  <c r="R514" i="4"/>
  <c r="V514" i="4"/>
  <c r="Q514" i="4"/>
  <c r="U514" i="4"/>
  <c r="Y514" i="4"/>
  <c r="N1047" i="4"/>
  <c r="R1047" i="4"/>
  <c r="V1047" i="4"/>
  <c r="Z1047" i="4"/>
  <c r="AD1047" i="4"/>
  <c r="AH1047" i="4"/>
  <c r="AJ950" i="4"/>
  <c r="O1046" i="4"/>
  <c r="S1046" i="4"/>
  <c r="W1046" i="4"/>
  <c r="AA1046" i="4"/>
  <c r="AE1046" i="4"/>
  <c r="AI1046" i="4"/>
  <c r="O1047" i="4"/>
  <c r="S1047" i="4"/>
  <c r="W1047" i="4"/>
  <c r="AA1047" i="4"/>
  <c r="AE1047" i="4"/>
  <c r="AI1047" i="4"/>
  <c r="P1047" i="4"/>
  <c r="T1047" i="4"/>
  <c r="X1047" i="4"/>
  <c r="AB1047" i="4"/>
  <c r="AF1047" i="4"/>
  <c r="AJ1047" i="4"/>
  <c r="R950" i="4"/>
  <c r="V950" i="4"/>
  <c r="Z950" i="4"/>
  <c r="AD950" i="4"/>
  <c r="T1323" i="4"/>
  <c r="X1323" i="4"/>
  <c r="AB1323" i="4"/>
  <c r="AF1323" i="4"/>
  <c r="AJ1323" i="4"/>
  <c r="Q1314" i="4"/>
  <c r="AG1314" i="4"/>
  <c r="S1316" i="4"/>
  <c r="W1316" i="4"/>
  <c r="AI1316" i="4"/>
  <c r="Q1320" i="4"/>
  <c r="R1322" i="4"/>
  <c r="Z1330" i="4"/>
  <c r="Q1322" i="4"/>
  <c r="U1322" i="4"/>
  <c r="Y1322" i="4"/>
  <c r="AC1322" i="4"/>
  <c r="AG1322" i="4"/>
  <c r="AK1322" i="4"/>
  <c r="AK19" i="3" l="1"/>
  <c r="AF38" i="3"/>
  <c r="AF45" i="3"/>
  <c r="Z45" i="3"/>
  <c r="Q22" i="3"/>
  <c r="Q18" i="3" s="1"/>
  <c r="Q261" i="4" s="1"/>
  <c r="Y19" i="3"/>
  <c r="U22" i="3"/>
  <c r="U18" i="3" s="1"/>
  <c r="U261" i="4" s="1"/>
  <c r="Z19" i="3"/>
  <c r="AF604" i="4"/>
  <c r="AI604" i="4"/>
  <c r="N22" i="3"/>
  <c r="N18" i="3" s="1"/>
  <c r="N261" i="4" s="1"/>
  <c r="X604" i="4"/>
  <c r="AH604" i="4"/>
  <c r="AA45" i="3"/>
  <c r="P22" i="3"/>
  <c r="P18" i="3" s="1"/>
  <c r="P261" i="4" s="1"/>
  <c r="AF22" i="3"/>
  <c r="AF18" i="3" s="1"/>
  <c r="AF261" i="4" s="1"/>
  <c r="AF58" i="4"/>
  <c r="AK22" i="3"/>
  <c r="AK58" i="4"/>
  <c r="AJ45" i="3"/>
  <c r="AE45" i="3"/>
  <c r="Z22" i="3"/>
  <c r="S243" i="4"/>
  <c r="T243" i="4" s="1"/>
  <c r="U243" i="4" s="1"/>
  <c r="V243" i="4" s="1"/>
  <c r="W243" i="4" s="1"/>
  <c r="X243" i="4" s="1"/>
  <c r="Y243" i="4" s="1"/>
  <c r="Z243" i="4" s="1"/>
  <c r="AA243" i="4" s="1"/>
  <c r="AB243" i="4" s="1"/>
  <c r="AC243" i="4" s="1"/>
  <c r="AD243" i="4" s="1"/>
  <c r="AE243" i="4" s="1"/>
  <c r="AF243" i="4" s="1"/>
  <c r="AG243" i="4" s="1"/>
  <c r="AH243" i="4" s="1"/>
  <c r="AI243" i="4" s="1"/>
  <c r="AJ243" i="4" s="1"/>
  <c r="AK243" i="4" s="1"/>
  <c r="Q243" i="4"/>
  <c r="P243" i="4" s="1"/>
  <c r="O243" i="4" s="1"/>
  <c r="N243" i="4" s="1"/>
  <c r="M243" i="4" s="1"/>
  <c r="T22" i="3"/>
  <c r="T18" i="3" s="1"/>
  <c r="T261" i="4" s="1"/>
  <c r="W48" i="3"/>
  <c r="AK35" i="3"/>
  <c r="AD38" i="3"/>
  <c r="O22" i="3"/>
  <c r="O18" i="3" s="1"/>
  <c r="O261" i="4" s="1"/>
  <c r="V22" i="3"/>
  <c r="V18" i="3" s="1"/>
  <c r="V261" i="4" s="1"/>
  <c r="X48" i="3"/>
  <c r="Z35" i="3"/>
  <c r="AG22" i="3"/>
  <c r="W38" i="3"/>
  <c r="R22" i="3"/>
  <c r="R18" i="3" s="1"/>
  <c r="R261" i="4" s="1"/>
  <c r="Q263" i="4" s="1"/>
  <c r="M22" i="3"/>
  <c r="Y48" i="3"/>
  <c r="S22" i="3"/>
  <c r="S18" i="3" s="1"/>
  <c r="S261" i="4" s="1"/>
  <c r="S262" i="4" s="1"/>
  <c r="Z55" i="4"/>
  <c r="AA55" i="4" s="1"/>
  <c r="AB55" i="4" s="1"/>
  <c r="AC55" i="4" s="1"/>
  <c r="AD55" i="4" s="1"/>
  <c r="AE55" i="4" s="1"/>
  <c r="AF55" i="4" s="1"/>
  <c r="AG55" i="4" s="1"/>
  <c r="AH55" i="4" s="1"/>
  <c r="AI55" i="4" s="1"/>
  <c r="AJ55" i="4" s="1"/>
  <c r="AK55" i="4" s="1"/>
  <c r="V57" i="4"/>
  <c r="U57" i="4" s="1"/>
  <c r="T57" i="4" s="1"/>
  <c r="S57" i="4" s="1"/>
  <c r="R57" i="4" s="1"/>
  <c r="Q57" i="4" s="1"/>
  <c r="P57" i="4" s="1"/>
  <c r="O57" i="4" s="1"/>
  <c r="N57" i="4" s="1"/>
  <c r="M57" i="4" s="1"/>
  <c r="L57" i="4" s="1"/>
  <c r="Z56" i="4"/>
  <c r="AA56" i="4" s="1"/>
  <c r="AB56" i="4" s="1"/>
  <c r="AC56" i="4" s="1"/>
  <c r="AD56" i="4" s="1"/>
  <c r="AE56" i="4" s="1"/>
  <c r="AF56" i="4" s="1"/>
  <c r="AG56" i="4" s="1"/>
  <c r="AH56" i="4" s="1"/>
  <c r="AI56" i="4" s="1"/>
  <c r="AJ56" i="4" s="1"/>
  <c r="AK56" i="4" s="1"/>
  <c r="AH38" i="3"/>
  <c r="V56" i="4"/>
  <c r="U56" i="4" s="1"/>
  <c r="T56" i="4" s="1"/>
  <c r="S56" i="4" s="1"/>
  <c r="R56" i="4" s="1"/>
  <c r="Q56" i="4" s="1"/>
  <c r="P56" i="4" s="1"/>
  <c r="O56" i="4" s="1"/>
  <c r="N56" i="4" s="1"/>
  <c r="M56" i="4" s="1"/>
  <c r="L56" i="4" s="1"/>
  <c r="AD35" i="3"/>
  <c r="V55" i="4"/>
  <c r="U55" i="4" s="1"/>
  <c r="T55" i="4" s="1"/>
  <c r="S55" i="4" s="1"/>
  <c r="R55" i="4" s="1"/>
  <c r="Q55" i="4" s="1"/>
  <c r="P55" i="4" s="1"/>
  <c r="O55" i="4" s="1"/>
  <c r="N55" i="4" s="1"/>
  <c r="M55" i="4" s="1"/>
  <c r="L55" i="4" s="1"/>
  <c r="V54" i="4"/>
  <c r="U54" i="4" s="1"/>
  <c r="T54" i="4" s="1"/>
  <c r="S54" i="4" s="1"/>
  <c r="R54" i="4" s="1"/>
  <c r="Q54" i="4" s="1"/>
  <c r="P54" i="4" s="1"/>
  <c r="O54" i="4" s="1"/>
  <c r="N54" i="4" s="1"/>
  <c r="M54" i="4" s="1"/>
  <c r="L54" i="4" s="1"/>
  <c r="AD48" i="3"/>
  <c r="Z57" i="4"/>
  <c r="AA57" i="4" s="1"/>
  <c r="AB57" i="4" s="1"/>
  <c r="AC57" i="4" s="1"/>
  <c r="AD57" i="4" s="1"/>
  <c r="AE57" i="4" s="1"/>
  <c r="AF57" i="4" s="1"/>
  <c r="AG57" i="4" s="1"/>
  <c r="AH57" i="4" s="1"/>
  <c r="AI57" i="4" s="1"/>
  <c r="AJ57" i="4" s="1"/>
  <c r="AK57" i="4" s="1"/>
  <c r="Z54" i="4"/>
  <c r="AA54" i="4" s="1"/>
  <c r="AB54" i="4" s="1"/>
  <c r="AC54" i="4" s="1"/>
  <c r="AD54" i="4" s="1"/>
  <c r="AE54" i="4" s="1"/>
  <c r="AF54" i="4" s="1"/>
  <c r="AG54" i="4" s="1"/>
  <c r="AH54" i="4" s="1"/>
  <c r="AI54" i="4" s="1"/>
  <c r="AJ54" i="4" s="1"/>
  <c r="AK54" i="4" s="1"/>
  <c r="Z38" i="3"/>
  <c r="AI19" i="3"/>
  <c r="AG45" i="3"/>
  <c r="AG44" i="3" s="1"/>
  <c r="AG268" i="4" s="1"/>
  <c r="AA22" i="3"/>
  <c r="W19" i="3"/>
  <c r="AB38" i="3"/>
  <c r="AG38" i="3"/>
  <c r="AH48" i="3"/>
  <c r="AC48" i="3"/>
  <c r="W46" i="3"/>
  <c r="W45" i="3" s="1"/>
  <c r="W519" i="4"/>
  <c r="W518" i="4" s="1"/>
  <c r="U103" i="3"/>
  <c r="U708" i="4" s="1"/>
  <c r="Y1208" i="4"/>
  <c r="Z1243" i="4"/>
  <c r="AH1244" i="4"/>
  <c r="T132" i="3"/>
  <c r="V1238" i="4"/>
  <c r="AD1239" i="4"/>
  <c r="Z108" i="3"/>
  <c r="Z1279" i="4"/>
  <c r="AH1280" i="4"/>
  <c r="V1269" i="4"/>
  <c r="AD1270" i="4"/>
  <c r="W1208" i="4"/>
  <c r="AE1209" i="4"/>
  <c r="T131" i="3"/>
  <c r="V1233" i="4"/>
  <c r="AD1234" i="4"/>
  <c r="Z129" i="3"/>
  <c r="Z1223" i="4"/>
  <c r="AH1224" i="4"/>
  <c r="T129" i="3"/>
  <c r="V1223" i="4"/>
  <c r="AD1224" i="4"/>
  <c r="Z130" i="3"/>
  <c r="Z1228" i="4"/>
  <c r="AH1229" i="4"/>
  <c r="U125" i="3"/>
  <c r="U577" i="4" s="1"/>
  <c r="Y125" i="3"/>
  <c r="Y577" i="4" s="1"/>
  <c r="T107" i="3"/>
  <c r="AK38" i="3"/>
  <c r="T128" i="3"/>
  <c r="V1218" i="4"/>
  <c r="AD1219" i="4"/>
  <c r="Z1218" i="4"/>
  <c r="Z131" i="3"/>
  <c r="Z1233" i="4"/>
  <c r="AH1234" i="4"/>
  <c r="T106" i="3"/>
  <c r="V1264" i="4"/>
  <c r="AD1265" i="4"/>
  <c r="T118" i="3"/>
  <c r="V1249" i="4"/>
  <c r="AD1250" i="4"/>
  <c r="Z105" i="3"/>
  <c r="Z1259" i="4"/>
  <c r="AH1260" i="4"/>
  <c r="Z118" i="3"/>
  <c r="Z1249" i="4"/>
  <c r="AH1250" i="4"/>
  <c r="T109" i="3"/>
  <c r="V1274" i="4"/>
  <c r="AD1275" i="4"/>
  <c r="U1213" i="4"/>
  <c r="AC1214" i="4"/>
  <c r="V1213" i="4"/>
  <c r="AD1214" i="4"/>
  <c r="Z1213" i="4"/>
  <c r="AH1214" i="4"/>
  <c r="Z109" i="3"/>
  <c r="Z1274" i="4"/>
  <c r="AH1275" i="4"/>
  <c r="Z1269" i="4"/>
  <c r="AH1270" i="4"/>
  <c r="W1254" i="4"/>
  <c r="AE1255" i="4"/>
  <c r="AA1218" i="4"/>
  <c r="Z126" i="3"/>
  <c r="AA126" i="3" s="1"/>
  <c r="Y1254" i="4"/>
  <c r="AG1255" i="4"/>
  <c r="U578" i="4"/>
  <c r="V1243" i="4"/>
  <c r="AD1244" i="4"/>
  <c r="Y45" i="3"/>
  <c r="AH35" i="3"/>
  <c r="AB45" i="3"/>
  <c r="AB44" i="3" s="1"/>
  <c r="AB268" i="4" s="1"/>
  <c r="T130" i="3"/>
  <c r="V1228" i="4"/>
  <c r="AD1229" i="4"/>
  <c r="Z106" i="3"/>
  <c r="Z1264" i="4"/>
  <c r="AH1265" i="4"/>
  <c r="Z132" i="3"/>
  <c r="Z1238" i="4"/>
  <c r="AH1239" i="4"/>
  <c r="T108" i="3"/>
  <c r="V1279" i="4"/>
  <c r="AD1280" i="4"/>
  <c r="T105" i="3"/>
  <c r="V1259" i="4"/>
  <c r="AD1260" i="4"/>
  <c r="AG35" i="3"/>
  <c r="AD19" i="3"/>
  <c r="AA48" i="3"/>
  <c r="X35" i="3"/>
  <c r="AC38" i="3"/>
  <c r="AA19" i="3"/>
  <c r="AI35" i="3"/>
  <c r="AH19" i="3"/>
  <c r="AB19" i="3"/>
  <c r="AF48" i="3"/>
  <c r="AJ22" i="3"/>
  <c r="AJ18" i="3" s="1"/>
  <c r="AJ261" i="4" s="1"/>
  <c r="AD45" i="3"/>
  <c r="AJ38" i="3"/>
  <c r="AJ34" i="3" s="1"/>
  <c r="AJ265" i="4" s="1"/>
  <c r="AE22" i="3"/>
  <c r="AE18" i="3" s="1"/>
  <c r="AE261" i="4" s="1"/>
  <c r="AH22" i="3"/>
  <c r="AE48" i="3"/>
  <c r="X19" i="3"/>
  <c r="X38" i="3"/>
  <c r="AG19" i="3"/>
  <c r="AB35" i="3"/>
  <c r="K611" i="4"/>
  <c r="AJ604" i="4"/>
  <c r="AB604" i="4"/>
  <c r="T604" i="4"/>
  <c r="AE604" i="4"/>
  <c r="W604" i="4"/>
  <c r="AD604" i="4"/>
  <c r="V604" i="4"/>
  <c r="X611" i="4"/>
  <c r="W611" i="4"/>
  <c r="AG604" i="4"/>
  <c r="Y604" i="4"/>
  <c r="Y611" i="4"/>
  <c r="V611" i="4"/>
  <c r="N611" i="4"/>
  <c r="M611" i="4"/>
  <c r="L604" i="4"/>
  <c r="R611" i="4"/>
  <c r="Q604" i="4"/>
  <c r="N604" i="4"/>
  <c r="AK604" i="4"/>
  <c r="AC604" i="4"/>
  <c r="U604" i="4"/>
  <c r="M604" i="4"/>
  <c r="T611" i="4"/>
  <c r="J611" i="4"/>
  <c r="U611" i="4"/>
  <c r="P604" i="4"/>
  <c r="K604" i="4"/>
  <c r="R604" i="4"/>
  <c r="J604" i="4"/>
  <c r="Q611" i="4"/>
  <c r="O611" i="4"/>
  <c r="O604" i="4"/>
  <c r="AA35" i="3"/>
  <c r="AA34" i="3" s="1"/>
  <c r="AA265" i="4" s="1"/>
  <c r="AB22" i="3"/>
  <c r="AE38" i="3"/>
  <c r="AE34" i="3" s="1"/>
  <c r="AE265" i="4" s="1"/>
  <c r="X22" i="3"/>
  <c r="Z48" i="3"/>
  <c r="AI45" i="3"/>
  <c r="AD22" i="3"/>
  <c r="AK48" i="3"/>
  <c r="AK44" i="3" s="1"/>
  <c r="AK268" i="4" s="1"/>
  <c r="X45" i="3"/>
  <c r="AC19" i="3"/>
  <c r="AC45" i="3"/>
  <c r="Y304" i="4"/>
  <c r="AC35" i="3"/>
  <c r="Y38" i="3"/>
  <c r="Y34" i="3" s="1"/>
  <c r="Y265" i="4" s="1"/>
  <c r="W304" i="4"/>
  <c r="Z304" i="4"/>
  <c r="V575" i="4"/>
  <c r="V503" i="4"/>
  <c r="X575" i="4"/>
  <c r="X503" i="4"/>
  <c r="T133" i="3"/>
  <c r="AJ48" i="3"/>
  <c r="Y22" i="3"/>
  <c r="Y18" i="3" s="1"/>
  <c r="Y261" i="4" s="1"/>
  <c r="AF35" i="3"/>
  <c r="AC22" i="3"/>
  <c r="AI22" i="3"/>
  <c r="W35" i="3"/>
  <c r="W22" i="3"/>
  <c r="R120" i="3"/>
  <c r="U503" i="4"/>
  <c r="AA203" i="3"/>
  <c r="AB203" i="3" s="1"/>
  <c r="Z153" i="4"/>
  <c r="Z594" i="4" s="1"/>
  <c r="Z593" i="4" s="1"/>
  <c r="AF611" i="4" s="1"/>
  <c r="Q715" i="4"/>
  <c r="W715" i="4"/>
  <c r="W504" i="4" s="1"/>
  <c r="T244" i="4"/>
  <c r="P244" i="4"/>
  <c r="X304" i="4"/>
  <c r="AI48" i="3"/>
  <c r="AI38" i="3"/>
  <c r="Y186" i="3"/>
  <c r="Y342" i="4" s="1"/>
  <c r="AH45" i="3"/>
  <c r="U1318" i="4"/>
  <c r="T266" i="4"/>
  <c r="U266" i="4"/>
  <c r="U1312" i="4"/>
  <c r="V266" i="4"/>
  <c r="V1344" i="4"/>
  <c r="V1312" i="4" s="1"/>
  <c r="S120" i="3"/>
  <c r="S1318" i="4"/>
  <c r="S1324" i="4"/>
  <c r="X153" i="4"/>
  <c r="U124" i="3"/>
  <c r="R1344" i="4"/>
  <c r="R1318" i="4" s="1"/>
  <c r="V708" i="4"/>
  <c r="AA421" i="4"/>
  <c r="AC421" i="4" s="1"/>
  <c r="AB421" i="4"/>
  <c r="X708" i="4"/>
  <c r="AA189" i="3"/>
  <c r="M422" i="4"/>
  <c r="N423" i="4"/>
  <c r="N694" i="4" s="1"/>
  <c r="X423" i="4"/>
  <c r="X694" i="4" s="1"/>
  <c r="V423" i="4"/>
  <c r="V694" i="4" s="1"/>
  <c r="M423" i="4"/>
  <c r="X422" i="4"/>
  <c r="L422" i="4"/>
  <c r="L423" i="4"/>
  <c r="L694" i="4" s="1"/>
  <c r="W423" i="4"/>
  <c r="W694" i="4" s="1"/>
  <c r="O423" i="4"/>
  <c r="O694" i="4" s="1"/>
  <c r="V422" i="4"/>
  <c r="W422" i="4"/>
  <c r="K422" i="4"/>
  <c r="K423" i="4"/>
  <c r="K694" i="4" s="1"/>
  <c r="N422" i="4"/>
  <c r="O422" i="4"/>
  <c r="AK416" i="4"/>
  <c r="Y416" i="4"/>
  <c r="M397" i="4"/>
  <c r="AH416" i="4"/>
  <c r="L397" i="4"/>
  <c r="W397" i="4"/>
  <c r="R397" i="4"/>
  <c r="J397" i="4"/>
  <c r="AD397" i="4"/>
  <c r="AI416" i="4"/>
  <c r="AI423" i="4" s="1"/>
  <c r="AI694" i="4" s="1"/>
  <c r="AD416" i="4"/>
  <c r="AJ416" i="4"/>
  <c r="AJ423" i="4" s="1"/>
  <c r="AJ694" i="4" s="1"/>
  <c r="Z397" i="4"/>
  <c r="AE416" i="4"/>
  <c r="AE423" i="4" s="1"/>
  <c r="AE694" i="4" s="1"/>
  <c r="AB416" i="4"/>
  <c r="AB423" i="4" s="1"/>
  <c r="AB694" i="4" s="1"/>
  <c r="Z416" i="4"/>
  <c r="Z420" i="4" s="1"/>
  <c r="AF416" i="4"/>
  <c r="AF423" i="4" s="1"/>
  <c r="AF694" i="4" s="1"/>
  <c r="U397" i="4"/>
  <c r="AC416" i="4"/>
  <c r="AC423" i="4" s="1"/>
  <c r="AC694" i="4" s="1"/>
  <c r="X397" i="4"/>
  <c r="P397" i="4"/>
  <c r="S397" i="4"/>
  <c r="V397" i="4"/>
  <c r="N397" i="4"/>
  <c r="AA416" i="4"/>
  <c r="AA423" i="4" s="1"/>
  <c r="AA694" i="4" s="1"/>
  <c r="AG416" i="4"/>
  <c r="AG423" i="4" s="1"/>
  <c r="AG694" i="4" s="1"/>
  <c r="X152" i="4"/>
  <c r="Z152" i="4"/>
  <c r="T152" i="4"/>
  <c r="AA152" i="4"/>
  <c r="Z1322" i="4"/>
  <c r="W152" i="4"/>
  <c r="AG152" i="4"/>
  <c r="Q152" i="4"/>
  <c r="V269" i="4"/>
  <c r="X340" i="4"/>
  <c r="V340" i="4"/>
  <c r="AF152" i="4"/>
  <c r="P152" i="4"/>
  <c r="AI152" i="4"/>
  <c r="S152" i="4"/>
  <c r="V152" i="4"/>
  <c r="AC152" i="4"/>
  <c r="T269" i="4"/>
  <c r="AB152" i="4"/>
  <c r="AE152" i="4"/>
  <c r="O152" i="4"/>
  <c r="P151" i="4" s="1"/>
  <c r="P148" i="4" s="1"/>
  <c r="AH152" i="4"/>
  <c r="R152" i="4"/>
  <c r="Y152" i="4"/>
  <c r="Z151" i="4" s="1"/>
  <c r="U269" i="4"/>
  <c r="AJ152" i="4"/>
  <c r="Z1310" i="4"/>
  <c r="T418" i="4"/>
  <c r="AD152" i="4"/>
  <c r="AK152" i="4"/>
  <c r="U152" i="4"/>
  <c r="P418" i="4"/>
  <c r="U188" i="3"/>
  <c r="U341" i="4" s="1"/>
  <c r="U187" i="3"/>
  <c r="U186" i="3"/>
  <c r="U342" i="4" s="1"/>
  <c r="P153" i="4"/>
  <c r="T190" i="3"/>
  <c r="T188" i="3" s="1"/>
  <c r="T341" i="4" s="1"/>
  <c r="Z193" i="3"/>
  <c r="Y188" i="3"/>
  <c r="Y341" i="4" s="1"/>
  <c r="Z189" i="3"/>
  <c r="Q418" i="4"/>
  <c r="I418" i="4"/>
  <c r="AH418" i="4"/>
  <c r="Z1314" i="4"/>
  <c r="Z1308" i="4"/>
  <c r="Z1320" i="4"/>
  <c r="AH397" i="4"/>
  <c r="AK418" i="4"/>
  <c r="U418" i="4"/>
  <c r="AA604" i="4"/>
  <c r="S604" i="4"/>
  <c r="S611" i="4"/>
  <c r="Q163" i="4"/>
  <c r="P160" i="4"/>
  <c r="AA163" i="4"/>
  <c r="Z160" i="4"/>
  <c r="M418" i="4"/>
  <c r="AI415" i="4"/>
  <c r="AA1411" i="4"/>
  <c r="AA1409" i="4"/>
  <c r="AA1331" i="4" s="1"/>
  <c r="S415" i="4"/>
  <c r="K1411" i="4"/>
  <c r="K1409" i="4"/>
  <c r="I397" i="4"/>
  <c r="L418" i="4"/>
  <c r="Y400" i="4"/>
  <c r="AH1409" i="4"/>
  <c r="AH1331" i="4" s="1"/>
  <c r="AH1411" i="4"/>
  <c r="Z415" i="4"/>
  <c r="R1409" i="4"/>
  <c r="R1331" i="4" s="1"/>
  <c r="R1411" i="4"/>
  <c r="O418" i="4"/>
  <c r="P419" i="4"/>
  <c r="P416" i="4" s="1"/>
  <c r="P420" i="4" s="1"/>
  <c r="W408" i="4"/>
  <c r="AK415" i="4"/>
  <c r="AC1411" i="4"/>
  <c r="AC1409" i="4"/>
  <c r="AC1331" i="4" s="1"/>
  <c r="U415" i="4"/>
  <c r="M1411" i="4"/>
  <c r="M1409" i="4"/>
  <c r="V409" i="4"/>
  <c r="R409" i="4"/>
  <c r="N409" i="4"/>
  <c r="J409" i="4"/>
  <c r="U408" i="4"/>
  <c r="R418" i="4"/>
  <c r="J418" i="4"/>
  <c r="R408" i="4"/>
  <c r="AJ1409" i="4"/>
  <c r="AJ1331" i="4" s="1"/>
  <c r="AJ1411" i="4"/>
  <c r="AB415" i="4"/>
  <c r="T1409" i="4"/>
  <c r="T1331" i="4" s="1"/>
  <c r="T1411" i="4"/>
  <c r="Z107" i="3"/>
  <c r="AB190" i="3"/>
  <c r="P121" i="3"/>
  <c r="Q120" i="3"/>
  <c r="AA111" i="3"/>
  <c r="Z110" i="3"/>
  <c r="AA128" i="3"/>
  <c r="AB189" i="3"/>
  <c r="AC196" i="3"/>
  <c r="W119" i="3"/>
  <c r="V117" i="3"/>
  <c r="V576" i="4" s="1"/>
  <c r="AA104" i="3"/>
  <c r="AE1411" i="4"/>
  <c r="AE1409" i="4"/>
  <c r="AE1331" i="4" s="1"/>
  <c r="W415" i="4"/>
  <c r="O1411" i="4"/>
  <c r="O1409" i="4"/>
  <c r="X409" i="4"/>
  <c r="T409" i="4"/>
  <c r="P409" i="4"/>
  <c r="L409" i="4"/>
  <c r="X418" i="4"/>
  <c r="AD415" i="4"/>
  <c r="V1409" i="4"/>
  <c r="V1331" i="4" s="1"/>
  <c r="V1411" i="4"/>
  <c r="T397" i="4"/>
  <c r="Y141" i="4"/>
  <c r="AG1411" i="4"/>
  <c r="AG1409" i="4"/>
  <c r="AG1331" i="4" s="1"/>
  <c r="Y415" i="4"/>
  <c r="Q1411" i="4"/>
  <c r="Q1409" i="4"/>
  <c r="Q1331" i="4" s="1"/>
  <c r="V418" i="4"/>
  <c r="AF415" i="4"/>
  <c r="X1409" i="4"/>
  <c r="X1331" i="4" s="1"/>
  <c r="X1411" i="4"/>
  <c r="AA223" i="3"/>
  <c r="Z222" i="3"/>
  <c r="AA210" i="3"/>
  <c r="Z209" i="3"/>
  <c r="Z208" i="3"/>
  <c r="S126" i="3"/>
  <c r="V120" i="3"/>
  <c r="W122" i="3"/>
  <c r="Y103" i="3"/>
  <c r="Z1323" i="4"/>
  <c r="Z1311" i="4"/>
  <c r="Z1317" i="4"/>
  <c r="AI1411" i="4"/>
  <c r="AI1409" i="4"/>
  <c r="AI1331" i="4" s="1"/>
  <c r="AA415" i="4"/>
  <c r="S1411" i="4"/>
  <c r="S1409" i="4"/>
  <c r="S1331" i="4" s="1"/>
  <c r="Q397" i="4"/>
  <c r="AH415" i="4"/>
  <c r="Z1409" i="4"/>
  <c r="Z1331" i="4" s="1"/>
  <c r="Z1309" i="4" s="1"/>
  <c r="Z1411" i="4"/>
  <c r="R415" i="4"/>
  <c r="J1409" i="4"/>
  <c r="J1411" i="4"/>
  <c r="S418" i="4"/>
  <c r="J419" i="4"/>
  <c r="J416" i="4" s="1"/>
  <c r="J420" i="4" s="1"/>
  <c r="K418" i="4"/>
  <c r="I419" i="4"/>
  <c r="S408" i="4"/>
  <c r="AK1411" i="4"/>
  <c r="AK1409" i="4"/>
  <c r="AK1331" i="4" s="1"/>
  <c r="AC415" i="4"/>
  <c r="U1411" i="4"/>
  <c r="U465" i="4" s="1"/>
  <c r="U1409" i="4"/>
  <c r="U1331" i="4" s="1"/>
  <c r="O397" i="4"/>
  <c r="N418" i="4"/>
  <c r="V408" i="4"/>
  <c r="AJ415" i="4"/>
  <c r="AB1409" i="4"/>
  <c r="AB1331" i="4" s="1"/>
  <c r="AB1411" i="4"/>
  <c r="T415" i="4"/>
  <c r="L1409" i="4"/>
  <c r="L464" i="4" s="1"/>
  <c r="L1411" i="4"/>
  <c r="AA121" i="3"/>
  <c r="S104" i="3"/>
  <c r="S111" i="3"/>
  <c r="T110" i="3"/>
  <c r="R196" i="3"/>
  <c r="S189" i="3"/>
  <c r="O141" i="4"/>
  <c r="O138" i="4" s="1"/>
  <c r="AE415" i="4"/>
  <c r="W1411" i="4"/>
  <c r="W1409" i="4"/>
  <c r="W1331" i="4" s="1"/>
  <c r="AD1409" i="4"/>
  <c r="AD1331" i="4" s="1"/>
  <c r="AD1411" i="4"/>
  <c r="V415" i="4"/>
  <c r="N1409" i="4"/>
  <c r="N1411" i="4"/>
  <c r="W409" i="4"/>
  <c r="S409" i="4"/>
  <c r="O409" i="4"/>
  <c r="K409" i="4"/>
  <c r="W418" i="4"/>
  <c r="AG415" i="4"/>
  <c r="Y1411" i="4"/>
  <c r="Y1409" i="4"/>
  <c r="Y1331" i="4" s="1"/>
  <c r="Q415" i="4"/>
  <c r="I1411" i="4"/>
  <c r="I1409" i="4"/>
  <c r="Z604" i="4"/>
  <c r="K397" i="4"/>
  <c r="AF1409" i="4"/>
  <c r="AF1331" i="4" s="1"/>
  <c r="AF1411" i="4"/>
  <c r="X415" i="4"/>
  <c r="P1409" i="4"/>
  <c r="P1411" i="4"/>
  <c r="U409" i="4"/>
  <c r="Q409" i="4"/>
  <c r="M409" i="4"/>
  <c r="I409" i="4"/>
  <c r="S210" i="3"/>
  <c r="T209" i="3"/>
  <c r="T208" i="3"/>
  <c r="S223" i="3"/>
  <c r="T222" i="3"/>
  <c r="AJ147" i="4"/>
  <c r="AF147" i="4"/>
  <c r="AB147" i="4"/>
  <c r="X147" i="4"/>
  <c r="T147" i="4"/>
  <c r="P147" i="4"/>
  <c r="AI147" i="4"/>
  <c r="AE147" i="4"/>
  <c r="AA147" i="4"/>
  <c r="W147" i="4"/>
  <c r="S147" i="4"/>
  <c r="O147" i="4"/>
  <c r="P146" i="4" s="1"/>
  <c r="AH147" i="4"/>
  <c r="AD147" i="4"/>
  <c r="Z147" i="4"/>
  <c r="V147" i="4"/>
  <c r="R147" i="4"/>
  <c r="AK147" i="4"/>
  <c r="AG147" i="4"/>
  <c r="AC147" i="4"/>
  <c r="Y147" i="4"/>
  <c r="Z146" i="4" s="1"/>
  <c r="U147" i="4"/>
  <c r="Q147" i="4"/>
  <c r="Y578" i="4"/>
  <c r="Z133" i="3"/>
  <c r="Q203" i="3"/>
  <c r="R202" i="3"/>
  <c r="Y124" i="3"/>
  <c r="AF44" i="3" l="1"/>
  <c r="AF268" i="4" s="1"/>
  <c r="Z44" i="3"/>
  <c r="Z268" i="4" s="1"/>
  <c r="AC44" i="3"/>
  <c r="AC268" i="4" s="1"/>
  <c r="AF34" i="3"/>
  <c r="AF265" i="4" s="1"/>
  <c r="AK34" i="3"/>
  <c r="AK265" i="4" s="1"/>
  <c r="AK18" i="3"/>
  <c r="AK261" i="4" s="1"/>
  <c r="W44" i="3"/>
  <c r="W268" i="4" s="1"/>
  <c r="W269" i="4" s="1"/>
  <c r="P263" i="4"/>
  <c r="O263" i="4" s="1"/>
  <c r="N263" i="4" s="1"/>
  <c r="M263" i="4" s="1"/>
  <c r="AE44" i="3"/>
  <c r="AE268" i="4" s="1"/>
  <c r="AA44" i="3"/>
  <c r="AA268" i="4" s="1"/>
  <c r="Z18" i="3"/>
  <c r="Z261" i="4" s="1"/>
  <c r="Q245" i="4"/>
  <c r="AJ44" i="3"/>
  <c r="AJ268" i="4" s="1"/>
  <c r="S245" i="4"/>
  <c r="AD18" i="3"/>
  <c r="AD261" i="4" s="1"/>
  <c r="AI18" i="3"/>
  <c r="AI261" i="4" s="1"/>
  <c r="X44" i="3"/>
  <c r="X268" i="4" s="1"/>
  <c r="U262" i="4"/>
  <c r="AD34" i="3"/>
  <c r="AD265" i="4" s="1"/>
  <c r="Z34" i="3"/>
  <c r="Z265" i="4" s="1"/>
  <c r="AG18" i="3"/>
  <c r="AG261" i="4" s="1"/>
  <c r="Y44" i="3"/>
  <c r="Y268" i="4" s="1"/>
  <c r="T262" i="4"/>
  <c r="AH34" i="3"/>
  <c r="AH265" i="4" s="1"/>
  <c r="V262" i="4"/>
  <c r="W34" i="3"/>
  <c r="W265" i="4" s="1"/>
  <c r="W266" i="4" s="1"/>
  <c r="AH44" i="3"/>
  <c r="AH268" i="4" s="1"/>
  <c r="AD44" i="3"/>
  <c r="AD268" i="4" s="1"/>
  <c r="AB34" i="3"/>
  <c r="AB265" i="4" s="1"/>
  <c r="AG34" i="3"/>
  <c r="AG265" i="4" s="1"/>
  <c r="W18" i="3"/>
  <c r="W261" i="4" s="1"/>
  <c r="W262" i="4" s="1"/>
  <c r="AA18" i="3"/>
  <c r="AA261" i="4" s="1"/>
  <c r="AD1255" i="4"/>
  <c r="U575" i="4"/>
  <c r="V1254" i="4"/>
  <c r="Z125" i="3"/>
  <c r="Z577" i="4" s="1"/>
  <c r="X34" i="3"/>
  <c r="X265" i="4" s="1"/>
  <c r="T103" i="3"/>
  <c r="U1254" i="4" s="1"/>
  <c r="Y503" i="4"/>
  <c r="Y519" i="4" s="1"/>
  <c r="Y518" i="4" s="1"/>
  <c r="Z1254" i="4"/>
  <c r="AH1255" i="4"/>
  <c r="T1215" i="4"/>
  <c r="T1213" i="4"/>
  <c r="AB1214" i="4"/>
  <c r="U1215" i="4"/>
  <c r="AB1215" i="4"/>
  <c r="Z1215" i="4"/>
  <c r="AC1215" i="4"/>
  <c r="AF1215" i="4"/>
  <c r="AG1215" i="4"/>
  <c r="AA1215" i="4"/>
  <c r="Y1215" i="4"/>
  <c r="AD1215" i="4"/>
  <c r="AJ1215" i="4"/>
  <c r="AK1215" i="4"/>
  <c r="AH1215" i="4"/>
  <c r="W1215" i="4"/>
  <c r="V1215" i="4"/>
  <c r="X1215" i="4"/>
  <c r="AI1215" i="4"/>
  <c r="AE1215" i="4"/>
  <c r="AB1218" i="4"/>
  <c r="AC1221" i="4"/>
  <c r="AD1221" i="4"/>
  <c r="AE1221" i="4"/>
  <c r="AB1221" i="4"/>
  <c r="X18" i="3"/>
  <c r="X261" i="4" s="1"/>
  <c r="AI34" i="3"/>
  <c r="AI265" i="4" s="1"/>
  <c r="AA106" i="3"/>
  <c r="AA1264" i="4"/>
  <c r="AI1265" i="4"/>
  <c r="AA1213" i="4"/>
  <c r="AI1214" i="4"/>
  <c r="AA105" i="3"/>
  <c r="AA1259" i="4"/>
  <c r="AI1260" i="4"/>
  <c r="S106" i="3"/>
  <c r="U1264" i="4"/>
  <c r="AC1265" i="4"/>
  <c r="U1218" i="4"/>
  <c r="AC1219" i="4"/>
  <c r="T125" i="3"/>
  <c r="T577" i="4" s="1"/>
  <c r="S128" i="3"/>
  <c r="S131" i="3"/>
  <c r="U1233" i="4"/>
  <c r="AC1234" i="4"/>
  <c r="AA108" i="3"/>
  <c r="AA1279" i="4"/>
  <c r="AI1280" i="4"/>
  <c r="S133" i="3"/>
  <c r="S578" i="4" s="1"/>
  <c r="U1243" i="4"/>
  <c r="AC1244" i="4"/>
  <c r="AA132" i="3"/>
  <c r="AA1238" i="4"/>
  <c r="AI1239" i="4"/>
  <c r="AA109" i="3"/>
  <c r="AA1274" i="4"/>
  <c r="AI1275" i="4"/>
  <c r="AA1249" i="4"/>
  <c r="AI1250" i="4"/>
  <c r="AA118" i="3"/>
  <c r="U1249" i="4"/>
  <c r="AC1250" i="4"/>
  <c r="S118" i="3"/>
  <c r="T117" i="3"/>
  <c r="T576" i="4" s="1"/>
  <c r="AA129" i="3"/>
  <c r="AA1223" i="4"/>
  <c r="AI1224" i="4"/>
  <c r="AA1243" i="4"/>
  <c r="AI1244" i="4"/>
  <c r="Z103" i="3"/>
  <c r="Z575" i="4" s="1"/>
  <c r="AA1269" i="4"/>
  <c r="AI1270" i="4"/>
  <c r="U1279" i="4"/>
  <c r="AC1280" i="4"/>
  <c r="S108" i="3"/>
  <c r="T504" i="4"/>
  <c r="S109" i="3"/>
  <c r="U1274" i="4"/>
  <c r="AC1275" i="4"/>
  <c r="U1269" i="4"/>
  <c r="AC1270" i="4"/>
  <c r="S129" i="3"/>
  <c r="U1223" i="4"/>
  <c r="AC1224" i="4"/>
  <c r="Z1208" i="4"/>
  <c r="AB1213" i="4"/>
  <c r="AD1216" i="4"/>
  <c r="AI1216" i="4"/>
  <c r="AB1216" i="4"/>
  <c r="AH1216" i="4"/>
  <c r="AJ1214" i="4"/>
  <c r="AG1216" i="4"/>
  <c r="AE1216" i="4"/>
  <c r="AF1216" i="4"/>
  <c r="AK1216" i="4"/>
  <c r="AJ1216" i="4"/>
  <c r="AC1216" i="4"/>
  <c r="S107" i="3"/>
  <c r="R107" i="3" s="1"/>
  <c r="V1208" i="4"/>
  <c r="AD1209" i="4"/>
  <c r="AB18" i="3"/>
  <c r="AB261" i="4" s="1"/>
  <c r="S105" i="3"/>
  <c r="U1259" i="4"/>
  <c r="AC1260" i="4"/>
  <c r="S130" i="3"/>
  <c r="U1228" i="4"/>
  <c r="AC1229" i="4"/>
  <c r="AA131" i="3"/>
  <c r="AA1233" i="4"/>
  <c r="AI1234" i="4"/>
  <c r="AA130" i="3"/>
  <c r="AA1228" i="4"/>
  <c r="AI1229" i="4"/>
  <c r="S132" i="3"/>
  <c r="U1238" i="4"/>
  <c r="AC1239" i="4"/>
  <c r="AC34" i="3"/>
  <c r="AC265" i="4" s="1"/>
  <c r="AH18" i="3"/>
  <c r="AH261" i="4" s="1"/>
  <c r="AA202" i="3"/>
  <c r="AI44" i="3"/>
  <c r="AI268" i="4" s="1"/>
  <c r="AC18" i="3"/>
  <c r="AC261" i="4" s="1"/>
  <c r="Z611" i="4"/>
  <c r="AA611" i="4"/>
  <c r="AD611" i="4"/>
  <c r="AH611" i="4"/>
  <c r="AJ611" i="4"/>
  <c r="AI611" i="4"/>
  <c r="AC611" i="4"/>
  <c r="AK611" i="4"/>
  <c r="AE611" i="4"/>
  <c r="AB611" i="4"/>
  <c r="AG611" i="4"/>
  <c r="T578" i="4"/>
  <c r="Y511" i="4"/>
  <c r="T124" i="3"/>
  <c r="U519" i="4"/>
  <c r="U518" i="4" s="1"/>
  <c r="U511" i="4"/>
  <c r="X511" i="4"/>
  <c r="X519" i="4"/>
  <c r="X518" i="4" s="1"/>
  <c r="V511" i="4"/>
  <c r="V519" i="4"/>
  <c r="V518" i="4" s="1"/>
  <c r="X715" i="4"/>
  <c r="X504" i="4" s="1"/>
  <c r="W1344" i="4"/>
  <c r="W1312" i="4" s="1"/>
  <c r="O244" i="4"/>
  <c r="P245" i="4"/>
  <c r="U244" i="4"/>
  <c r="T245" i="4"/>
  <c r="V1318" i="4"/>
  <c r="Y340" i="4"/>
  <c r="V1324" i="4"/>
  <c r="Q1344" i="4"/>
  <c r="Q1312" i="4" s="1"/>
  <c r="R1312" i="4"/>
  <c r="R1324" i="4"/>
  <c r="AE421" i="4"/>
  <c r="AE420" i="4" s="1"/>
  <c r="Y575" i="4"/>
  <c r="Y708" i="4"/>
  <c r="T575" i="4"/>
  <c r="AD421" i="4"/>
  <c r="AF421" i="4" s="1"/>
  <c r="S190" i="3"/>
  <c r="S187" i="3" s="1"/>
  <c r="M436" i="4"/>
  <c r="M404" i="4" s="1"/>
  <c r="M694" i="4"/>
  <c r="X437" i="4"/>
  <c r="X436" i="4"/>
  <c r="X425" i="4" s="1"/>
  <c r="V436" i="4"/>
  <c r="V425" i="4" s="1"/>
  <c r="V696" i="4" s="1"/>
  <c r="W437" i="4"/>
  <c r="M437" i="4"/>
  <c r="V437" i="4"/>
  <c r="V681" i="4" s="1"/>
  <c r="AH423" i="4"/>
  <c r="AH694" i="4" s="1"/>
  <c r="W436" i="4"/>
  <c r="W404" i="4" s="1"/>
  <c r="K437" i="4"/>
  <c r="P423" i="4"/>
  <c r="P694" i="4" s="1"/>
  <c r="K436" i="4"/>
  <c r="K426" i="4" s="1"/>
  <c r="K697" i="4" s="1"/>
  <c r="N436" i="4"/>
  <c r="N424" i="4" s="1"/>
  <c r="N695" i="4" s="1"/>
  <c r="N437" i="4"/>
  <c r="Y423" i="4"/>
  <c r="Y694" i="4" s="1"/>
  <c r="Y420" i="4"/>
  <c r="O436" i="4"/>
  <c r="O424" i="4" s="1"/>
  <c r="O695" i="4" s="1"/>
  <c r="O437" i="4"/>
  <c r="Y409" i="4"/>
  <c r="Y410" i="4" s="1"/>
  <c r="Z422" i="4"/>
  <c r="Z423" i="4"/>
  <c r="Z694" i="4" s="1"/>
  <c r="AD423" i="4"/>
  <c r="AD694" i="4" s="1"/>
  <c r="J422" i="4"/>
  <c r="P422" i="4"/>
  <c r="AK423" i="4"/>
  <c r="AK694" i="4" s="1"/>
  <c r="I416" i="4"/>
  <c r="I420" i="4" s="1"/>
  <c r="L437" i="4"/>
  <c r="J423" i="4"/>
  <c r="J694" i="4" s="1"/>
  <c r="L436" i="4"/>
  <c r="L430" i="4" s="1"/>
  <c r="L701" i="4" s="1"/>
  <c r="AA151" i="4"/>
  <c r="AA148" i="4" s="1"/>
  <c r="AA420" i="4"/>
  <c r="AC420" i="4"/>
  <c r="AB420" i="4"/>
  <c r="Q151" i="4"/>
  <c r="Q148" i="4" s="1"/>
  <c r="Z148" i="4"/>
  <c r="T186" i="3"/>
  <c r="T342" i="4" s="1"/>
  <c r="T340" i="4" s="1"/>
  <c r="T187" i="3"/>
  <c r="AA193" i="3"/>
  <c r="Z186" i="3"/>
  <c r="Z342" i="4" s="1"/>
  <c r="Z187" i="3"/>
  <c r="Z188" i="3"/>
  <c r="Z341" i="4" s="1"/>
  <c r="U340" i="4"/>
  <c r="Z1315" i="4"/>
  <c r="Z400" i="4"/>
  <c r="Q146" i="4"/>
  <c r="P143" i="4"/>
  <c r="O165" i="4"/>
  <c r="O168" i="4" s="1"/>
  <c r="P203" i="3"/>
  <c r="Q202" i="3"/>
  <c r="Y1321" i="4"/>
  <c r="Y1315" i="4"/>
  <c r="Y1309" i="4"/>
  <c r="AD1315" i="4"/>
  <c r="AD1313" i="4" s="1"/>
  <c r="AD1309" i="4"/>
  <c r="AD1307" i="4" s="1"/>
  <c r="AD1321" i="4"/>
  <c r="AD1319" i="4" s="1"/>
  <c r="AB126" i="3"/>
  <c r="Z1321" i="4"/>
  <c r="AA222" i="3"/>
  <c r="AB223" i="3"/>
  <c r="Q1315" i="4"/>
  <c r="Q1321" i="4"/>
  <c r="Q1309" i="4"/>
  <c r="AG1315" i="4"/>
  <c r="AG1313" i="4" s="1"/>
  <c r="AG1321" i="4"/>
  <c r="AG1319" i="4" s="1"/>
  <c r="AG1309" i="4"/>
  <c r="AG1307" i="4" s="1"/>
  <c r="T410" i="4"/>
  <c r="W117" i="3"/>
  <c r="W576" i="4" s="1"/>
  <c r="X119" i="3"/>
  <c r="AB128" i="3"/>
  <c r="O121" i="3"/>
  <c r="P120" i="3"/>
  <c r="AC190" i="3"/>
  <c r="R410" i="4"/>
  <c r="Q410" i="4"/>
  <c r="S410" i="4"/>
  <c r="W1309" i="4"/>
  <c r="W1315" i="4"/>
  <c r="W1321" i="4"/>
  <c r="R111" i="3"/>
  <c r="S110" i="3"/>
  <c r="U1315" i="4"/>
  <c r="U1313" i="4" s="1"/>
  <c r="U1321" i="4"/>
  <c r="U1319" i="4" s="1"/>
  <c r="U1309" i="4"/>
  <c r="U1307" i="4" s="1"/>
  <c r="AK1315" i="4"/>
  <c r="AK1313" i="4" s="1"/>
  <c r="AK1321" i="4"/>
  <c r="AK1319" i="4" s="1"/>
  <c r="AK1309" i="4"/>
  <c r="AK1307" i="4" s="1"/>
  <c r="AB210" i="3"/>
  <c r="AA209" i="3"/>
  <c r="AA208" i="3"/>
  <c r="X1321" i="4"/>
  <c r="X1309" i="4"/>
  <c r="X1315" i="4"/>
  <c r="AE1321" i="4"/>
  <c r="AE1319" i="4" s="1"/>
  <c r="AE1309" i="4"/>
  <c r="AE1307" i="4" s="1"/>
  <c r="AE1315" i="4"/>
  <c r="AE1313" i="4" s="1"/>
  <c r="AB104" i="3"/>
  <c r="AD196" i="3"/>
  <c r="AC189" i="3"/>
  <c r="AA107" i="3"/>
  <c r="AA1309" i="4"/>
  <c r="AA1307" i="4" s="1"/>
  <c r="AA1321" i="4"/>
  <c r="AA1319" i="4" s="1"/>
  <c r="AA1315" i="4"/>
  <c r="AA1313" i="4" s="1"/>
  <c r="AB163" i="4"/>
  <c r="AA160" i="4"/>
  <c r="AF1321" i="4"/>
  <c r="AF1319" i="4" s="1"/>
  <c r="AF1309" i="4"/>
  <c r="AF1307" i="4" s="1"/>
  <c r="AF1315" i="4"/>
  <c r="AF1313" i="4" s="1"/>
  <c r="AB121" i="3"/>
  <c r="S1321" i="4"/>
  <c r="S1319" i="4" s="1"/>
  <c r="S1309" i="4"/>
  <c r="S1307" i="4" s="1"/>
  <c r="S1315" i="4"/>
  <c r="S1313" i="4" s="1"/>
  <c r="AI1321" i="4"/>
  <c r="AI1319" i="4" s="1"/>
  <c r="AI1309" i="4"/>
  <c r="AI1307" i="4" s="1"/>
  <c r="AI1315" i="4"/>
  <c r="AI1313" i="4" s="1"/>
  <c r="R126" i="3"/>
  <c r="AK142" i="4"/>
  <c r="AG142" i="4"/>
  <c r="AC142" i="4"/>
  <c r="Y142" i="4"/>
  <c r="Z141" i="4" s="1"/>
  <c r="U142" i="4"/>
  <c r="Q142" i="4"/>
  <c r="AJ142" i="4"/>
  <c r="AF142" i="4"/>
  <c r="AB142" i="4"/>
  <c r="X142" i="4"/>
  <c r="T142" i="4"/>
  <c r="P142" i="4"/>
  <c r="AI142" i="4"/>
  <c r="AE142" i="4"/>
  <c r="AA142" i="4"/>
  <c r="W142" i="4"/>
  <c r="S142" i="4"/>
  <c r="O142" i="4"/>
  <c r="P141" i="4" s="1"/>
  <c r="AH142" i="4"/>
  <c r="AD142" i="4"/>
  <c r="Z142" i="4"/>
  <c r="V142" i="4"/>
  <c r="R142" i="4"/>
  <c r="X410" i="4"/>
  <c r="AB111" i="3"/>
  <c r="AA110" i="3"/>
  <c r="T1321" i="4"/>
  <c r="T1319" i="4" s="1"/>
  <c r="T1309" i="4"/>
  <c r="T1307" i="4" s="1"/>
  <c r="T1315" i="4"/>
  <c r="T1313" i="4" s="1"/>
  <c r="AJ1321" i="4"/>
  <c r="AJ1319" i="4" s="1"/>
  <c r="AJ1309" i="4"/>
  <c r="AJ1307" i="4" s="1"/>
  <c r="AJ1315" i="4"/>
  <c r="AJ1313" i="4" s="1"/>
  <c r="V410" i="4"/>
  <c r="AC1321" i="4"/>
  <c r="AC1319" i="4" s="1"/>
  <c r="AC1315" i="4"/>
  <c r="AC1313" i="4" s="1"/>
  <c r="AC1309" i="4"/>
  <c r="AC1307" i="4" s="1"/>
  <c r="R1315" i="4"/>
  <c r="R1313" i="4" s="1"/>
  <c r="R1309" i="4"/>
  <c r="R1321" i="4"/>
  <c r="AH1315" i="4"/>
  <c r="AH1313" i="4" s="1"/>
  <c r="AH1309" i="4"/>
  <c r="AH1307" i="4" s="1"/>
  <c r="AH1321" i="4"/>
  <c r="AH1319" i="4" s="1"/>
  <c r="AA146" i="4"/>
  <c r="Z143" i="4"/>
  <c r="R210" i="3"/>
  <c r="S209" i="3"/>
  <c r="S208" i="3"/>
  <c r="Z578" i="4"/>
  <c r="AA133" i="3"/>
  <c r="R223" i="3"/>
  <c r="S222" i="3"/>
  <c r="U410" i="4"/>
  <c r="W410" i="4"/>
  <c r="Z124" i="3"/>
  <c r="Q196" i="3"/>
  <c r="R189" i="3"/>
  <c r="R104" i="3"/>
  <c r="AB1309" i="4"/>
  <c r="AB1307" i="4" s="1"/>
  <c r="AB1315" i="4"/>
  <c r="AB1313" i="4" s="1"/>
  <c r="AB1321" i="4"/>
  <c r="AB1319" i="4" s="1"/>
  <c r="X122" i="3"/>
  <c r="W120" i="3"/>
  <c r="AC203" i="3"/>
  <c r="AB202" i="3"/>
  <c r="Y138" i="4"/>
  <c r="V1315" i="4"/>
  <c r="V1309" i="4"/>
  <c r="V1307" i="4" s="1"/>
  <c r="V1321" i="4"/>
  <c r="Q419" i="4"/>
  <c r="Q416" i="4" s="1"/>
  <c r="Q423" i="4" s="1"/>
  <c r="Q694" i="4" s="1"/>
  <c r="R163" i="4"/>
  <c r="Q160" i="4"/>
  <c r="Y269" i="4" l="1"/>
  <c r="AB269" i="4"/>
  <c r="Z269" i="4"/>
  <c r="X269" i="4"/>
  <c r="AA269" i="4"/>
  <c r="AC269" i="4"/>
  <c r="AE269" i="4"/>
  <c r="AG269" i="4"/>
  <c r="AF269" i="4"/>
  <c r="AD269" i="4"/>
  <c r="AH269" i="4"/>
  <c r="AJ269" i="4"/>
  <c r="Y266" i="4"/>
  <c r="AE262" i="4"/>
  <c r="Y262" i="4"/>
  <c r="R133" i="3"/>
  <c r="S1243" i="4" s="1"/>
  <c r="AA266" i="4"/>
  <c r="Z266" i="4"/>
  <c r="X266" i="4"/>
  <c r="AB266" i="4"/>
  <c r="AH266" i="4"/>
  <c r="T503" i="4"/>
  <c r="T511" i="4" s="1"/>
  <c r="T708" i="4"/>
  <c r="S124" i="3"/>
  <c r="AE266" i="4"/>
  <c r="Z262" i="4"/>
  <c r="AF266" i="4"/>
  <c r="AD266" i="4"/>
  <c r="AB262" i="4"/>
  <c r="AC262" i="4"/>
  <c r="X262" i="4"/>
  <c r="Z708" i="4"/>
  <c r="AG266" i="4"/>
  <c r="AD262" i="4"/>
  <c r="AC266" i="4"/>
  <c r="AA262" i="4"/>
  <c r="AC1255" i="4"/>
  <c r="AI269" i="4"/>
  <c r="AJ266" i="4"/>
  <c r="AI266" i="4"/>
  <c r="AB130" i="3"/>
  <c r="AB1228" i="4"/>
  <c r="AI1231" i="4"/>
  <c r="AK1231" i="4"/>
  <c r="AH1231" i="4"/>
  <c r="AC1231" i="4"/>
  <c r="AF1231" i="4"/>
  <c r="AG1231" i="4"/>
  <c r="AJ1231" i="4"/>
  <c r="AE1231" i="4"/>
  <c r="AJ1229" i="4"/>
  <c r="AD1231" i="4"/>
  <c r="AB1231" i="4"/>
  <c r="AB107" i="3"/>
  <c r="AB1269" i="4"/>
  <c r="AF1272" i="4"/>
  <c r="AG1272" i="4"/>
  <c r="AB1272" i="4"/>
  <c r="AH1272" i="4"/>
  <c r="AC1272" i="4"/>
  <c r="AJ1270" i="4"/>
  <c r="AI1272" i="4"/>
  <c r="AD1272" i="4"/>
  <c r="AK1272" i="4"/>
  <c r="AJ1272" i="4"/>
  <c r="AE1272" i="4"/>
  <c r="AC1218" i="4"/>
  <c r="R130" i="3"/>
  <c r="T1228" i="4"/>
  <c r="V1230" i="4"/>
  <c r="AI1230" i="4"/>
  <c r="AB1230" i="4"/>
  <c r="AB1229" i="4"/>
  <c r="Y1230" i="4"/>
  <c r="X1230" i="4"/>
  <c r="AD1230" i="4"/>
  <c r="AC1230" i="4"/>
  <c r="AA1230" i="4"/>
  <c r="AJ1230" i="4"/>
  <c r="U1230" i="4"/>
  <c r="AG1230" i="4"/>
  <c r="AH1230" i="4"/>
  <c r="AK1230" i="4"/>
  <c r="W1230" i="4"/>
  <c r="AF1230" i="4"/>
  <c r="T1230" i="4"/>
  <c r="Z1230" i="4"/>
  <c r="AE1230" i="4"/>
  <c r="R129" i="3"/>
  <c r="T1223" i="4"/>
  <c r="AB1225" i="4"/>
  <c r="Y1225" i="4"/>
  <c r="AF1225" i="4"/>
  <c r="V1225" i="4"/>
  <c r="AI1225" i="4"/>
  <c r="AJ1225" i="4"/>
  <c r="U1225" i="4"/>
  <c r="AH1225" i="4"/>
  <c r="W1225" i="4"/>
  <c r="AK1225" i="4"/>
  <c r="X1225" i="4"/>
  <c r="AB1224" i="4"/>
  <c r="Z1225" i="4"/>
  <c r="AE1225" i="4"/>
  <c r="T1225" i="4"/>
  <c r="AA1225" i="4"/>
  <c r="AC1225" i="4"/>
  <c r="AD1225" i="4"/>
  <c r="AG1225" i="4"/>
  <c r="Z503" i="4"/>
  <c r="AA1254" i="4"/>
  <c r="AI1255" i="4"/>
  <c r="AB108" i="3"/>
  <c r="AB1279" i="4"/>
  <c r="AG1282" i="4"/>
  <c r="AF1282" i="4"/>
  <c r="AK1282" i="4"/>
  <c r="AI1282" i="4"/>
  <c r="AC1282" i="4"/>
  <c r="AE1282" i="4"/>
  <c r="AJ1280" i="4"/>
  <c r="AD1282" i="4"/>
  <c r="AB1282" i="4"/>
  <c r="AJ1282" i="4"/>
  <c r="AH1282" i="4"/>
  <c r="T1218" i="4"/>
  <c r="Y1220" i="4"/>
  <c r="AE1220" i="4"/>
  <c r="T1220" i="4"/>
  <c r="U1220" i="4"/>
  <c r="Z1220" i="4"/>
  <c r="AD1220" i="4"/>
  <c r="X1220" i="4"/>
  <c r="AB1220" i="4"/>
  <c r="AB1219" i="4"/>
  <c r="AA1220" i="4"/>
  <c r="V1220" i="4"/>
  <c r="AC1220" i="4"/>
  <c r="W1220" i="4"/>
  <c r="R128" i="3"/>
  <c r="S125" i="3"/>
  <c r="S577" i="4" s="1"/>
  <c r="AC1213" i="4"/>
  <c r="AK1214" i="4"/>
  <c r="U1208" i="4"/>
  <c r="AC1209" i="4"/>
  <c r="AB1243" i="4"/>
  <c r="AI1246" i="4"/>
  <c r="AB1246" i="4"/>
  <c r="AH1246" i="4"/>
  <c r="AC1246" i="4"/>
  <c r="AG1246" i="4"/>
  <c r="AF1246" i="4"/>
  <c r="AK1246" i="4"/>
  <c r="AJ1244" i="4"/>
  <c r="AJ1246" i="4"/>
  <c r="AD1246" i="4"/>
  <c r="AE1246" i="4"/>
  <c r="S1269" i="4"/>
  <c r="AA1270" i="4"/>
  <c r="AB131" i="3"/>
  <c r="AB1233" i="4"/>
  <c r="AJ1236" i="4"/>
  <c r="AD1236" i="4"/>
  <c r="AH1236" i="4"/>
  <c r="AC1236" i="4"/>
  <c r="AB1236" i="4"/>
  <c r="AK1236" i="4"/>
  <c r="AJ1234" i="4"/>
  <c r="AG1236" i="4"/>
  <c r="AF1236" i="4"/>
  <c r="AI1236" i="4"/>
  <c r="AE1236" i="4"/>
  <c r="R109" i="3"/>
  <c r="T1274" i="4"/>
  <c r="T1276" i="4"/>
  <c r="AI1276" i="4"/>
  <c r="AB1276" i="4"/>
  <c r="AJ1276" i="4"/>
  <c r="W1276" i="4"/>
  <c r="AC1276" i="4"/>
  <c r="AH1276" i="4"/>
  <c r="V1276" i="4"/>
  <c r="AG1276" i="4"/>
  <c r="AB1275" i="4"/>
  <c r="AF1276" i="4"/>
  <c r="AD1276" i="4"/>
  <c r="Z1276" i="4"/>
  <c r="U1276" i="4"/>
  <c r="AE1276" i="4"/>
  <c r="AA1276" i="4"/>
  <c r="AK1276" i="4"/>
  <c r="Y1276" i="4"/>
  <c r="X1276" i="4"/>
  <c r="AB129" i="3"/>
  <c r="AB1223" i="4"/>
  <c r="AC1226" i="4"/>
  <c r="AF1226" i="4"/>
  <c r="AG1226" i="4"/>
  <c r="AJ1226" i="4"/>
  <c r="AK1226" i="4"/>
  <c r="AE1226" i="4"/>
  <c r="AJ1224" i="4"/>
  <c r="AD1226" i="4"/>
  <c r="AI1226" i="4"/>
  <c r="AB1226" i="4"/>
  <c r="AH1226" i="4"/>
  <c r="T1243" i="4"/>
  <c r="V1245" i="4"/>
  <c r="Z1245" i="4"/>
  <c r="U1245" i="4"/>
  <c r="X1245" i="4"/>
  <c r="AD1245" i="4"/>
  <c r="AC1245" i="4"/>
  <c r="AH1245" i="4"/>
  <c r="AG1245" i="4"/>
  <c r="AB1244" i="4"/>
  <c r="AB1245" i="4"/>
  <c r="AF1245" i="4"/>
  <c r="AK1245" i="4"/>
  <c r="Y1245" i="4"/>
  <c r="AE1245" i="4"/>
  <c r="T1245" i="4"/>
  <c r="AI1245" i="4"/>
  <c r="W1245" i="4"/>
  <c r="AJ1245" i="4"/>
  <c r="AA1245" i="4"/>
  <c r="AB105" i="3"/>
  <c r="AB1259" i="4"/>
  <c r="AH1262" i="4"/>
  <c r="AG1262" i="4"/>
  <c r="AJ1260" i="4"/>
  <c r="AE1262" i="4"/>
  <c r="AF1262" i="4"/>
  <c r="AI1262" i="4"/>
  <c r="AB1262" i="4"/>
  <c r="AK1262" i="4"/>
  <c r="AD1262" i="4"/>
  <c r="AJ1262" i="4"/>
  <c r="AC1262" i="4"/>
  <c r="S1213" i="4"/>
  <c r="AA1214" i="4"/>
  <c r="AB1249" i="4"/>
  <c r="AC1252" i="4"/>
  <c r="AJ1250" i="4"/>
  <c r="AK1252" i="4"/>
  <c r="AI1252" i="4"/>
  <c r="AJ1252" i="4"/>
  <c r="AB1252" i="4"/>
  <c r="AE1252" i="4"/>
  <c r="AD1252" i="4"/>
  <c r="AG1252" i="4"/>
  <c r="AF1252" i="4"/>
  <c r="AH1252" i="4"/>
  <c r="AB118" i="3"/>
  <c r="AB132" i="3"/>
  <c r="AB1238" i="4"/>
  <c r="AG1241" i="4"/>
  <c r="AK1241" i="4"/>
  <c r="AJ1241" i="4"/>
  <c r="AJ1239" i="4"/>
  <c r="AC1241" i="4"/>
  <c r="AD1241" i="4"/>
  <c r="AE1241" i="4"/>
  <c r="AF1241" i="4"/>
  <c r="AH1241" i="4"/>
  <c r="AI1241" i="4"/>
  <c r="AB1241" i="4"/>
  <c r="R106" i="3"/>
  <c r="T1264" i="4"/>
  <c r="Y1266" i="4"/>
  <c r="AB1266" i="4"/>
  <c r="AA1266" i="4"/>
  <c r="AG1266" i="4"/>
  <c r="AJ1266" i="4"/>
  <c r="AD1266" i="4"/>
  <c r="AH1266" i="4"/>
  <c r="AE1266" i="4"/>
  <c r="AI1266" i="4"/>
  <c r="X1266" i="4"/>
  <c r="V1266" i="4"/>
  <c r="T1266" i="4"/>
  <c r="Z1266" i="4"/>
  <c r="AK1266" i="4"/>
  <c r="AB1265" i="4"/>
  <c r="U1266" i="4"/>
  <c r="W1266" i="4"/>
  <c r="AC1266" i="4"/>
  <c r="AF1266" i="4"/>
  <c r="AB106" i="3"/>
  <c r="AB1264" i="4"/>
  <c r="AB1267" i="4"/>
  <c r="AJ1267" i="4"/>
  <c r="AD1267" i="4"/>
  <c r="AI1267" i="4"/>
  <c r="AK1267" i="4"/>
  <c r="AC1267" i="4"/>
  <c r="AE1267" i="4"/>
  <c r="AH1267" i="4"/>
  <c r="AF1267" i="4"/>
  <c r="AG1267" i="4"/>
  <c r="AJ1265" i="4"/>
  <c r="S103" i="3"/>
  <c r="S575" i="4" s="1"/>
  <c r="AA1208" i="4"/>
  <c r="AA125" i="3"/>
  <c r="AA577" i="4" s="1"/>
  <c r="AA599" i="4" s="1"/>
  <c r="R132" i="3"/>
  <c r="T1238" i="4"/>
  <c r="AE1240" i="4"/>
  <c r="AF1240" i="4"/>
  <c r="Y1240" i="4"/>
  <c r="W1240" i="4"/>
  <c r="AH1240" i="4"/>
  <c r="AG1240" i="4"/>
  <c r="AK1240" i="4"/>
  <c r="AB1240" i="4"/>
  <c r="AI1240" i="4"/>
  <c r="AA1240" i="4"/>
  <c r="U1240" i="4"/>
  <c r="V1240" i="4"/>
  <c r="T1240" i="4"/>
  <c r="Z1240" i="4"/>
  <c r="X1240" i="4"/>
  <c r="AJ1240" i="4"/>
  <c r="AD1240" i="4"/>
  <c r="AC1240" i="4"/>
  <c r="AB1239" i="4"/>
  <c r="R105" i="3"/>
  <c r="T1259" i="4"/>
  <c r="Z1261" i="4"/>
  <c r="AD1261" i="4"/>
  <c r="W1261" i="4"/>
  <c r="AC1261" i="4"/>
  <c r="AF1261" i="4"/>
  <c r="AH1261" i="4"/>
  <c r="AB1260" i="4"/>
  <c r="AK1261" i="4"/>
  <c r="T1261" i="4"/>
  <c r="AE1261" i="4"/>
  <c r="AG1261" i="4"/>
  <c r="AB1261" i="4"/>
  <c r="AA1261" i="4"/>
  <c r="U1261" i="4"/>
  <c r="AJ1261" i="4"/>
  <c r="Y1261" i="4"/>
  <c r="AI1261" i="4"/>
  <c r="V1261" i="4"/>
  <c r="X1261" i="4"/>
  <c r="T1269" i="4"/>
  <c r="AI1271" i="4"/>
  <c r="Y1271" i="4"/>
  <c r="AJ1271" i="4"/>
  <c r="AD1271" i="4"/>
  <c r="AG1271" i="4"/>
  <c r="AH1271" i="4"/>
  <c r="U1271" i="4"/>
  <c r="AF1271" i="4"/>
  <c r="AC1271" i="4"/>
  <c r="T1271" i="4"/>
  <c r="AA1271" i="4"/>
  <c r="AB1270" i="4"/>
  <c r="AB1271" i="4"/>
  <c r="W1271" i="4"/>
  <c r="Z1271" i="4"/>
  <c r="V1271" i="4"/>
  <c r="X1271" i="4"/>
  <c r="AE1271" i="4"/>
  <c r="AK1271" i="4"/>
  <c r="R108" i="3"/>
  <c r="T1279" i="4"/>
  <c r="U1281" i="4"/>
  <c r="AB1281" i="4"/>
  <c r="AK1281" i="4"/>
  <c r="AC1281" i="4"/>
  <c r="AB1280" i="4"/>
  <c r="AJ1281" i="4"/>
  <c r="V1281" i="4"/>
  <c r="AH1281" i="4"/>
  <c r="AF1281" i="4"/>
  <c r="AA1281" i="4"/>
  <c r="Z1281" i="4"/>
  <c r="AI1281" i="4"/>
  <c r="T1281" i="4"/>
  <c r="AE1281" i="4"/>
  <c r="AD1281" i="4"/>
  <c r="AG1281" i="4"/>
  <c r="X1281" i="4"/>
  <c r="W1281" i="4"/>
  <c r="Y1281" i="4"/>
  <c r="S504" i="4"/>
  <c r="T1249" i="4"/>
  <c r="AE1251" i="4"/>
  <c r="Y1251" i="4"/>
  <c r="AB1251" i="4"/>
  <c r="AA1251" i="4"/>
  <c r="U1251" i="4"/>
  <c r="X1251" i="4"/>
  <c r="W1251" i="4"/>
  <c r="T1251" i="4"/>
  <c r="AH1251" i="4"/>
  <c r="AI1251" i="4"/>
  <c r="Z1251" i="4"/>
  <c r="AC1251" i="4"/>
  <c r="AJ1251" i="4"/>
  <c r="AF1251" i="4"/>
  <c r="AB1250" i="4"/>
  <c r="AD1251" i="4"/>
  <c r="V1251" i="4"/>
  <c r="AK1251" i="4"/>
  <c r="AG1251" i="4"/>
  <c r="R118" i="3"/>
  <c r="S117" i="3"/>
  <c r="S576" i="4" s="1"/>
  <c r="AB109" i="3"/>
  <c r="AB1274" i="4"/>
  <c r="AJ1277" i="4"/>
  <c r="AI1277" i="4"/>
  <c r="AK1277" i="4"/>
  <c r="AB1277" i="4"/>
  <c r="AE1277" i="4"/>
  <c r="AF1277" i="4"/>
  <c r="AC1277" i="4"/>
  <c r="AD1277" i="4"/>
  <c r="AG1277" i="4"/>
  <c r="AJ1275" i="4"/>
  <c r="AH1277" i="4"/>
  <c r="R131" i="3"/>
  <c r="T1235" i="4"/>
  <c r="T1233" i="4"/>
  <c r="W1235" i="4"/>
  <c r="AC1235" i="4"/>
  <c r="Y1235" i="4"/>
  <c r="AD1235" i="4"/>
  <c r="AG1235" i="4"/>
  <c r="X1235" i="4"/>
  <c r="AB1235" i="4"/>
  <c r="AF1235" i="4"/>
  <c r="AE1235" i="4"/>
  <c r="AA1235" i="4"/>
  <c r="Z1235" i="4"/>
  <c r="AI1235" i="4"/>
  <c r="AB1234" i="4"/>
  <c r="V1235" i="4"/>
  <c r="AH1235" i="4"/>
  <c r="AK1235" i="4"/>
  <c r="U1235" i="4"/>
  <c r="AJ1235" i="4"/>
  <c r="AK266" i="4"/>
  <c r="AK269" i="4"/>
  <c r="AK262" i="4"/>
  <c r="AJ262" i="4"/>
  <c r="AF262" i="4"/>
  <c r="S188" i="3"/>
  <c r="S341" i="4" s="1"/>
  <c r="AI262" i="4"/>
  <c r="AG262" i="4"/>
  <c r="AH262" i="4"/>
  <c r="X600" i="4"/>
  <c r="V600" i="4"/>
  <c r="W600" i="4"/>
  <c r="U600" i="4"/>
  <c r="T600" i="4"/>
  <c r="Y600" i="4"/>
  <c r="R190" i="3"/>
  <c r="R186" i="3" s="1"/>
  <c r="R342" i="4" s="1"/>
  <c r="X1344" i="4"/>
  <c r="X1312" i="4" s="1"/>
  <c r="X1307" i="4" s="1"/>
  <c r="W1318" i="4"/>
  <c r="W1313" i="4" s="1"/>
  <c r="W1324" i="4"/>
  <c r="W1319" i="4" s="1"/>
  <c r="V1313" i="4"/>
  <c r="V1118" i="4" s="1"/>
  <c r="Y715" i="4"/>
  <c r="Y504" i="4" s="1"/>
  <c r="V1319" i="4"/>
  <c r="V1119" i="4" s="1"/>
  <c r="V244" i="4"/>
  <c r="U245" i="4"/>
  <c r="N244" i="4"/>
  <c r="O245" i="4"/>
  <c r="R1319" i="4"/>
  <c r="R1119" i="4" s="1"/>
  <c r="Q1318" i="4"/>
  <c r="Q1313" i="4" s="1"/>
  <c r="Q1324" i="4"/>
  <c r="Q1319" i="4" s="1"/>
  <c r="R1307" i="4"/>
  <c r="S186" i="3"/>
  <c r="S342" i="4" s="1"/>
  <c r="AG421" i="4"/>
  <c r="AG420" i="4" s="1"/>
  <c r="AG430" i="4" s="1"/>
  <c r="AG701" i="4" s="1"/>
  <c r="M424" i="4"/>
  <c r="M695" i="4" s="1"/>
  <c r="AD420" i="4"/>
  <c r="AD429" i="4" s="1"/>
  <c r="AD700" i="4" s="1"/>
  <c r="AH421" i="4"/>
  <c r="AF420" i="4"/>
  <c r="AF431" i="4" s="1"/>
  <c r="AF702" i="4" s="1"/>
  <c r="M426" i="4"/>
  <c r="M697" i="4" s="1"/>
  <c r="M430" i="4"/>
  <c r="M701" i="4" s="1"/>
  <c r="M432" i="4"/>
  <c r="M703" i="4" s="1"/>
  <c r="M433" i="4"/>
  <c r="M704" i="4" s="1"/>
  <c r="M435" i="4"/>
  <c r="M706" i="4" s="1"/>
  <c r="M431" i="4"/>
  <c r="M702" i="4" s="1"/>
  <c r="M429" i="4"/>
  <c r="M700" i="4" s="1"/>
  <c r="M427" i="4"/>
  <c r="M698" i="4" s="1"/>
  <c r="M434" i="4"/>
  <c r="M705" i="4" s="1"/>
  <c r="M425" i="4"/>
  <c r="M696" i="4" s="1"/>
  <c r="M428" i="4"/>
  <c r="M699" i="4" s="1"/>
  <c r="W402" i="4"/>
  <c r="W681" i="4"/>
  <c r="L402" i="4"/>
  <c r="L681" i="4"/>
  <c r="O402" i="4"/>
  <c r="O681" i="4"/>
  <c r="N402" i="4"/>
  <c r="N681" i="4"/>
  <c r="K402" i="4"/>
  <c r="K681" i="4"/>
  <c r="M681" i="4"/>
  <c r="X402" i="4"/>
  <c r="X681" i="4"/>
  <c r="X439" i="4"/>
  <c r="X683" i="4" s="1"/>
  <c r="X696" i="4"/>
  <c r="V433" i="4"/>
  <c r="V704" i="4" s="1"/>
  <c r="V427" i="4"/>
  <c r="V698" i="4" s="1"/>
  <c r="V435" i="4"/>
  <c r="W434" i="4"/>
  <c r="N435" i="4"/>
  <c r="K430" i="4"/>
  <c r="W425" i="4"/>
  <c r="W427" i="4"/>
  <c r="K429" i="4"/>
  <c r="K428" i="4"/>
  <c r="W431" i="4"/>
  <c r="W702" i="4" s="1"/>
  <c r="N434" i="4"/>
  <c r="N705" i="4" s="1"/>
  <c r="V428" i="4"/>
  <c r="N429" i="4"/>
  <c r="N426" i="4"/>
  <c r="O425" i="4"/>
  <c r="O426" i="4"/>
  <c r="O435" i="4"/>
  <c r="O706" i="4" s="1"/>
  <c r="W424" i="4"/>
  <c r="W695" i="4" s="1"/>
  <c r="W435" i="4"/>
  <c r="V426" i="4"/>
  <c r="V697" i="4" s="1"/>
  <c r="W426" i="4"/>
  <c r="V429" i="4"/>
  <c r="W429" i="4"/>
  <c r="I422" i="4"/>
  <c r="X427" i="4"/>
  <c r="L435" i="4"/>
  <c r="L706" i="4" s="1"/>
  <c r="X431" i="4"/>
  <c r="AC424" i="4"/>
  <c r="AC695" i="4" s="1"/>
  <c r="AC426" i="4"/>
  <c r="AC697" i="4" s="1"/>
  <c r="AC428" i="4"/>
  <c r="AC699" i="4" s="1"/>
  <c r="AC430" i="4"/>
  <c r="AC701" i="4" s="1"/>
  <c r="AC432" i="4"/>
  <c r="AC703" i="4" s="1"/>
  <c r="AC434" i="4"/>
  <c r="AC705" i="4" s="1"/>
  <c r="AC427" i="4"/>
  <c r="AC698" i="4" s="1"/>
  <c r="AC435" i="4"/>
  <c r="AC706" i="4" s="1"/>
  <c r="AC425" i="4"/>
  <c r="AC696" i="4" s="1"/>
  <c r="AC433" i="4"/>
  <c r="AC704" i="4" s="1"/>
  <c r="AC431" i="4"/>
  <c r="AC702" i="4" s="1"/>
  <c r="AC429" i="4"/>
  <c r="AC700" i="4" s="1"/>
  <c r="AE425" i="4"/>
  <c r="AE696" i="4" s="1"/>
  <c r="AE427" i="4"/>
  <c r="AE698" i="4" s="1"/>
  <c r="AE429" i="4"/>
  <c r="AE700" i="4" s="1"/>
  <c r="AE431" i="4"/>
  <c r="AE702" i="4" s="1"/>
  <c r="AE433" i="4"/>
  <c r="AE704" i="4" s="1"/>
  <c r="AE435" i="4"/>
  <c r="AE706" i="4" s="1"/>
  <c r="AE430" i="4"/>
  <c r="AE701" i="4" s="1"/>
  <c r="AE428" i="4"/>
  <c r="AE699" i="4" s="1"/>
  <c r="AE426" i="4"/>
  <c r="AE697" i="4" s="1"/>
  <c r="AE434" i="4"/>
  <c r="AE705" i="4" s="1"/>
  <c r="AE432" i="4"/>
  <c r="AE703" i="4" s="1"/>
  <c r="AE424" i="4"/>
  <c r="AE695" i="4" s="1"/>
  <c r="O404" i="4"/>
  <c r="O431" i="4"/>
  <c r="O702" i="4" s="1"/>
  <c r="O434" i="4"/>
  <c r="O705" i="4" s="1"/>
  <c r="O429" i="4"/>
  <c r="O700" i="4" s="1"/>
  <c r="O430" i="4"/>
  <c r="O432" i="4"/>
  <c r="O428" i="4"/>
  <c r="N404" i="4"/>
  <c r="N427" i="4"/>
  <c r="N698" i="4" s="1"/>
  <c r="N425" i="4"/>
  <c r="N696" i="4" s="1"/>
  <c r="N432" i="4"/>
  <c r="N430" i="4"/>
  <c r="L432" i="4"/>
  <c r="L703" i="4" s="1"/>
  <c r="N433" i="4"/>
  <c r="N431" i="4"/>
  <c r="N702" i="4" s="1"/>
  <c r="L404" i="4"/>
  <c r="L433" i="4"/>
  <c r="L427" i="4"/>
  <c r="L431" i="4"/>
  <c r="L702" i="4" s="1"/>
  <c r="X404" i="4"/>
  <c r="X435" i="4"/>
  <c r="X429" i="4"/>
  <c r="X428" i="4"/>
  <c r="X426" i="4"/>
  <c r="X430" i="4"/>
  <c r="X433" i="4"/>
  <c r="X434" i="4"/>
  <c r="L425" i="4"/>
  <c r="L424" i="4"/>
  <c r="X450" i="4"/>
  <c r="X432" i="4"/>
  <c r="L429" i="4"/>
  <c r="L700" i="4" s="1"/>
  <c r="L434" i="4"/>
  <c r="L705" i="4" s="1"/>
  <c r="AB425" i="4"/>
  <c r="AB696" i="4" s="1"/>
  <c r="AB426" i="4"/>
  <c r="AB697" i="4" s="1"/>
  <c r="AB433" i="4"/>
  <c r="AB704" i="4" s="1"/>
  <c r="AB434" i="4"/>
  <c r="AB705" i="4" s="1"/>
  <c r="AB430" i="4"/>
  <c r="AB701" i="4" s="1"/>
  <c r="AB424" i="4"/>
  <c r="AB695" i="4" s="1"/>
  <c r="AB431" i="4"/>
  <c r="AB702" i="4" s="1"/>
  <c r="AB432" i="4"/>
  <c r="AB703" i="4" s="1"/>
  <c r="AB429" i="4"/>
  <c r="AB700" i="4" s="1"/>
  <c r="AB428" i="4"/>
  <c r="AB699" i="4" s="1"/>
  <c r="AB427" i="4"/>
  <c r="AB698" i="4" s="1"/>
  <c r="AB435" i="4"/>
  <c r="AB706" i="4" s="1"/>
  <c r="Y422" i="4"/>
  <c r="K404" i="4"/>
  <c r="K424" i="4"/>
  <c r="K695" i="4" s="1"/>
  <c r="K427" i="4"/>
  <c r="K698" i="4" s="1"/>
  <c r="K432" i="4"/>
  <c r="K433" i="4"/>
  <c r="K431" i="4"/>
  <c r="K434" i="4"/>
  <c r="K705" i="4" s="1"/>
  <c r="V404" i="4"/>
  <c r="V431" i="4"/>
  <c r="V432" i="4"/>
  <c r="V434" i="4"/>
  <c r="O433" i="4"/>
  <c r="L428" i="4"/>
  <c r="L699" i="4" s="1"/>
  <c r="W428" i="4"/>
  <c r="W430" i="4"/>
  <c r="O427" i="4"/>
  <c r="O698" i="4" s="1"/>
  <c r="X424" i="4"/>
  <c r="V424" i="4"/>
  <c r="W433" i="4"/>
  <c r="K425" i="4"/>
  <c r="L426" i="4"/>
  <c r="L697" i="4" s="1"/>
  <c r="V430" i="4"/>
  <c r="W432" i="4"/>
  <c r="K435" i="4"/>
  <c r="N428" i="4"/>
  <c r="V402" i="4"/>
  <c r="M450" i="4"/>
  <c r="M402" i="4"/>
  <c r="V450" i="4"/>
  <c r="V439" i="4"/>
  <c r="V683" i="4" s="1"/>
  <c r="V666" i="4" s="1"/>
  <c r="V911" i="4" s="1"/>
  <c r="J436" i="4"/>
  <c r="J404" i="4" s="1"/>
  <c r="W450" i="4"/>
  <c r="P436" i="4"/>
  <c r="P432" i="4" s="1"/>
  <c r="P703" i="4" s="1"/>
  <c r="K450" i="4"/>
  <c r="I423" i="4"/>
  <c r="I694" i="4" s="1"/>
  <c r="Z436" i="4"/>
  <c r="O438" i="4"/>
  <c r="K440" i="4"/>
  <c r="N450" i="4"/>
  <c r="AB151" i="4"/>
  <c r="AB148" i="4" s="1"/>
  <c r="AA422" i="4"/>
  <c r="AB422" i="4"/>
  <c r="AB436" i="4"/>
  <c r="AB404" i="4" s="1"/>
  <c r="AC422" i="4"/>
  <c r="AC436" i="4"/>
  <c r="AC404" i="4" s="1"/>
  <c r="L444" i="4"/>
  <c r="L450" i="4"/>
  <c r="AE422" i="4"/>
  <c r="AE436" i="4"/>
  <c r="AE404" i="4" s="1"/>
  <c r="P437" i="4"/>
  <c r="O450" i="4"/>
  <c r="AA400" i="4"/>
  <c r="AB400" i="4" s="1"/>
  <c r="Z437" i="4"/>
  <c r="Z681" i="4" s="1"/>
  <c r="J437" i="4"/>
  <c r="J681" i="4" s="1"/>
  <c r="Q420" i="4"/>
  <c r="R151" i="4"/>
  <c r="R148" i="4" s="1"/>
  <c r="Z600" i="4"/>
  <c r="Z409" i="4"/>
  <c r="AB193" i="3"/>
  <c r="AA186" i="3"/>
  <c r="AA342" i="4" s="1"/>
  <c r="AA188" i="3"/>
  <c r="AA341" i="4" s="1"/>
  <c r="AA187" i="3"/>
  <c r="Z340" i="4"/>
  <c r="Q1307" i="4"/>
  <c r="V1117" i="4"/>
  <c r="AD203" i="3"/>
  <c r="AC202" i="3"/>
  <c r="AB1119" i="4"/>
  <c r="Q104" i="3"/>
  <c r="Q223" i="3"/>
  <c r="R222" i="3"/>
  <c r="AB146" i="4"/>
  <c r="AA143" i="4"/>
  <c r="AC1118" i="4"/>
  <c r="T1118" i="4"/>
  <c r="Q133" i="3"/>
  <c r="AI1306" i="4"/>
  <c r="AI1117" i="4"/>
  <c r="S1119" i="4"/>
  <c r="AF1306" i="4"/>
  <c r="AF1117" i="4"/>
  <c r="AA1118" i="4"/>
  <c r="AE1118" i="4"/>
  <c r="AB209" i="3"/>
  <c r="AB208" i="3"/>
  <c r="AC210" i="3"/>
  <c r="AK1118" i="4"/>
  <c r="Q111" i="3"/>
  <c r="R110" i="3"/>
  <c r="Y119" i="3"/>
  <c r="X117" i="3"/>
  <c r="X576" i="4" s="1"/>
  <c r="AG1118" i="4"/>
  <c r="AC223" i="3"/>
  <c r="AB222" i="3"/>
  <c r="AD1119" i="4"/>
  <c r="R146" i="4"/>
  <c r="Q143" i="4"/>
  <c r="R419" i="4"/>
  <c r="R416" i="4" s="1"/>
  <c r="R423" i="4" s="1"/>
  <c r="R694" i="4" s="1"/>
  <c r="AB1118" i="4"/>
  <c r="Q141" i="4"/>
  <c r="P138" i="4"/>
  <c r="AA578" i="4"/>
  <c r="AA600" i="4" s="1"/>
  <c r="AB133" i="3"/>
  <c r="Q210" i="3"/>
  <c r="R209" i="3"/>
  <c r="R208" i="3"/>
  <c r="AH1119" i="4"/>
  <c r="AC1119" i="4"/>
  <c r="AJ1118" i="4"/>
  <c r="T1306" i="4"/>
  <c r="T1117" i="4"/>
  <c r="Q126" i="3"/>
  <c r="AI1119" i="4"/>
  <c r="AF1119" i="4"/>
  <c r="AA1119" i="4"/>
  <c r="AE196" i="3"/>
  <c r="AD189" i="3"/>
  <c r="AE1306" i="4"/>
  <c r="AE1117" i="4"/>
  <c r="Q107" i="3"/>
  <c r="U1306" i="4"/>
  <c r="U1117" i="4"/>
  <c r="W1307" i="4"/>
  <c r="AD190" i="3"/>
  <c r="N121" i="3"/>
  <c r="O120" i="3"/>
  <c r="AD1306" i="4"/>
  <c r="AD1117" i="4"/>
  <c r="Y165" i="4"/>
  <c r="Y168" i="4" s="1"/>
  <c r="Y122" i="3"/>
  <c r="X120" i="3"/>
  <c r="AB1306" i="4"/>
  <c r="AB1117" i="4"/>
  <c r="P196" i="3"/>
  <c r="Q189" i="3"/>
  <c r="AH1306" i="4"/>
  <c r="AH1117" i="4"/>
  <c r="R1118" i="4"/>
  <c r="AJ1306" i="4"/>
  <c r="AJ1117" i="4"/>
  <c r="T1119" i="4"/>
  <c r="AA141" i="4"/>
  <c r="Z138" i="4"/>
  <c r="S1118" i="4"/>
  <c r="AC121" i="3"/>
  <c r="AA1306" i="4"/>
  <c r="AA1117" i="4"/>
  <c r="AA103" i="3"/>
  <c r="AE1119" i="4"/>
  <c r="AK1306" i="4"/>
  <c r="AK1117" i="4"/>
  <c r="U1119" i="4"/>
  <c r="AG1306" i="4"/>
  <c r="AG1117" i="4"/>
  <c r="AA124" i="3"/>
  <c r="AD1118" i="4"/>
  <c r="S163" i="4"/>
  <c r="R160" i="4"/>
  <c r="AH1118" i="4"/>
  <c r="AC1306" i="4"/>
  <c r="AC1117" i="4"/>
  <c r="AJ1119" i="4"/>
  <c r="AB110" i="3"/>
  <c r="AC111" i="3"/>
  <c r="AI1118" i="4"/>
  <c r="S1306" i="4"/>
  <c r="S1117" i="4"/>
  <c r="AF1118" i="4"/>
  <c r="AC163" i="4"/>
  <c r="AB160" i="4"/>
  <c r="AC104" i="3"/>
  <c r="AK1119" i="4"/>
  <c r="U1118" i="4"/>
  <c r="AC128" i="3"/>
  <c r="AD1218" i="4" s="1"/>
  <c r="AG1119" i="4"/>
  <c r="AC126" i="3"/>
  <c r="AD1213" i="4" s="1"/>
  <c r="O203" i="3"/>
  <c r="P202" i="3"/>
  <c r="R578" i="4" l="1"/>
  <c r="AE1210" i="4"/>
  <c r="AA1244" i="4"/>
  <c r="X1210" i="4"/>
  <c r="AA1210" i="4"/>
  <c r="Y1210" i="4"/>
  <c r="T1210" i="4"/>
  <c r="W1210" i="4"/>
  <c r="T1208" i="4"/>
  <c r="U1210" i="4"/>
  <c r="AB1210" i="4"/>
  <c r="V1210" i="4"/>
  <c r="AC1210" i="4"/>
  <c r="AB1209" i="4"/>
  <c r="Z1210" i="4"/>
  <c r="AD1210" i="4"/>
  <c r="T519" i="4"/>
  <c r="T518" i="4" s="1"/>
  <c r="X598" i="4"/>
  <c r="AF425" i="4"/>
  <c r="AF696" i="4" s="1"/>
  <c r="AB125" i="3"/>
  <c r="AB577" i="4" s="1"/>
  <c r="AB599" i="4" s="1"/>
  <c r="S708" i="4"/>
  <c r="R187" i="3"/>
  <c r="R103" i="3"/>
  <c r="S1254" i="4" s="1"/>
  <c r="R124" i="3"/>
  <c r="AA1209" i="4" s="1"/>
  <c r="AC106" i="3"/>
  <c r="AC1264" i="4"/>
  <c r="AK1265" i="4"/>
  <c r="Z519" i="4"/>
  <c r="Z518" i="4" s="1"/>
  <c r="Z511" i="4"/>
  <c r="R1243" i="4"/>
  <c r="Z1244" i="4"/>
  <c r="AC109" i="3"/>
  <c r="AC1274" i="4"/>
  <c r="AK1275" i="4"/>
  <c r="Q108" i="3"/>
  <c r="S1279" i="4"/>
  <c r="AA1280" i="4"/>
  <c r="R504" i="4"/>
  <c r="Q106" i="3"/>
  <c r="S1264" i="4"/>
  <c r="AA1265" i="4"/>
  <c r="AC131" i="3"/>
  <c r="AC1233" i="4"/>
  <c r="AK1234" i="4"/>
  <c r="AC108" i="3"/>
  <c r="AC1279" i="4"/>
  <c r="AK1280" i="4"/>
  <c r="Q129" i="3"/>
  <c r="S1223" i="4"/>
  <c r="AA1224" i="4"/>
  <c r="AC107" i="3"/>
  <c r="AC1269" i="4"/>
  <c r="AK1270" i="4"/>
  <c r="AB124" i="3"/>
  <c r="AC1243" i="4"/>
  <c r="AK1244" i="4"/>
  <c r="Q109" i="3"/>
  <c r="S1274" i="4"/>
  <c r="AA1275" i="4"/>
  <c r="AB103" i="3"/>
  <c r="AB575" i="4" s="1"/>
  <c r="AB597" i="4" s="1"/>
  <c r="AA503" i="4"/>
  <c r="AA511" i="4" s="1"/>
  <c r="AB1254" i="4"/>
  <c r="AB1257" i="4"/>
  <c r="AC1257" i="4"/>
  <c r="AG1257" i="4"/>
  <c r="AK1257" i="4"/>
  <c r="AJ1257" i="4"/>
  <c r="AI1257" i="4"/>
  <c r="AF1257" i="4"/>
  <c r="AE1257" i="4"/>
  <c r="AD1257" i="4"/>
  <c r="AH1257" i="4"/>
  <c r="AJ1255" i="4"/>
  <c r="R1269" i="4"/>
  <c r="Z1270" i="4"/>
  <c r="U598" i="4"/>
  <c r="V598" i="4"/>
  <c r="Q105" i="3"/>
  <c r="S1259" i="4"/>
  <c r="AA1260" i="4"/>
  <c r="AC132" i="3"/>
  <c r="AC1238" i="4"/>
  <c r="AK1239" i="4"/>
  <c r="AC105" i="3"/>
  <c r="AC1259" i="4"/>
  <c r="AK1260" i="4"/>
  <c r="W598" i="4"/>
  <c r="Q130" i="3"/>
  <c r="S1228" i="4"/>
  <c r="AA1229" i="4"/>
  <c r="AC130" i="3"/>
  <c r="AC1228" i="4"/>
  <c r="AK1229" i="4"/>
  <c r="Q131" i="3"/>
  <c r="S1233" i="4"/>
  <c r="AA1234" i="4"/>
  <c r="S1218" i="4"/>
  <c r="AA1219" i="4"/>
  <c r="R125" i="3"/>
  <c r="R577" i="4" s="1"/>
  <c r="Q128" i="3"/>
  <c r="AB1208" i="4"/>
  <c r="AB1211" i="4"/>
  <c r="AD1211" i="4"/>
  <c r="AC1211" i="4"/>
  <c r="AE1211" i="4"/>
  <c r="R1213" i="4"/>
  <c r="Z1214" i="4"/>
  <c r="S1249" i="4"/>
  <c r="AA1250" i="4"/>
  <c r="R117" i="3"/>
  <c r="R576" i="4" s="1"/>
  <c r="Q118" i="3"/>
  <c r="Q132" i="3"/>
  <c r="S1238" i="4"/>
  <c r="AA1239" i="4"/>
  <c r="S503" i="4"/>
  <c r="T1254" i="4"/>
  <c r="AE1256" i="4"/>
  <c r="AB1256" i="4"/>
  <c r="AI1256" i="4"/>
  <c r="AJ1256" i="4"/>
  <c r="T1256" i="4"/>
  <c r="V1256" i="4"/>
  <c r="AK1256" i="4"/>
  <c r="Y1256" i="4"/>
  <c r="AD1256" i="4"/>
  <c r="U1256" i="4"/>
  <c r="X1256" i="4"/>
  <c r="AA1256" i="4"/>
  <c r="AH1256" i="4"/>
  <c r="W1256" i="4"/>
  <c r="AF1256" i="4"/>
  <c r="Z1256" i="4"/>
  <c r="AC1256" i="4"/>
  <c r="AG1256" i="4"/>
  <c r="AB1255" i="4"/>
  <c r="AC1249" i="4"/>
  <c r="AK1250" i="4"/>
  <c r="AC118" i="3"/>
  <c r="AC129" i="3"/>
  <c r="AC1223" i="4"/>
  <c r="AK1224" i="4"/>
  <c r="W599" i="4"/>
  <c r="U599" i="4"/>
  <c r="Z599" i="4"/>
  <c r="Y599" i="4"/>
  <c r="X599" i="4"/>
  <c r="V599" i="4"/>
  <c r="T599" i="4"/>
  <c r="T598" i="4"/>
  <c r="S340" i="4"/>
  <c r="Q190" i="3"/>
  <c r="P190" i="3" s="1"/>
  <c r="R188" i="3"/>
  <c r="R341" i="4" s="1"/>
  <c r="R340" i="4" s="1"/>
  <c r="Z597" i="4"/>
  <c r="W597" i="4"/>
  <c r="U597" i="4"/>
  <c r="V597" i="4"/>
  <c r="X597" i="4"/>
  <c r="T597" i="4"/>
  <c r="Y597" i="4"/>
  <c r="Y1344" i="4"/>
  <c r="Y1318" i="4" s="1"/>
  <c r="Y1313" i="4" s="1"/>
  <c r="X1318" i="4"/>
  <c r="X1313" i="4" s="1"/>
  <c r="X1324" i="4"/>
  <c r="X1319" i="4" s="1"/>
  <c r="X1119" i="4" s="1"/>
  <c r="AG429" i="4"/>
  <c r="AG700" i="4" s="1"/>
  <c r="V1306" i="4"/>
  <c r="Z715" i="4"/>
  <c r="Z504" i="4" s="1"/>
  <c r="AF436" i="4"/>
  <c r="AF404" i="4" s="1"/>
  <c r="AG433" i="4"/>
  <c r="AG704" i="4" s="1"/>
  <c r="AG426" i="4"/>
  <c r="AG697" i="4" s="1"/>
  <c r="M444" i="4"/>
  <c r="M688" i="4" s="1"/>
  <c r="AG422" i="4"/>
  <c r="AG402" i="4" s="1"/>
  <c r="M244" i="4"/>
  <c r="M245" i="4" s="1"/>
  <c r="N245" i="4"/>
  <c r="V245" i="4"/>
  <c r="W244" i="4"/>
  <c r="AF422" i="4"/>
  <c r="AF452" i="4" s="1"/>
  <c r="AG427" i="4"/>
  <c r="AG698" i="4" s="1"/>
  <c r="AG425" i="4"/>
  <c r="AG696" i="4" s="1"/>
  <c r="AG435" i="4"/>
  <c r="AG706" i="4" s="1"/>
  <c r="AG428" i="4"/>
  <c r="AG699" i="4" s="1"/>
  <c r="AF426" i="4"/>
  <c r="AF697" i="4" s="1"/>
  <c r="R1306" i="4"/>
  <c r="AD433" i="4"/>
  <c r="AD704" i="4" s="1"/>
  <c r="R1117" i="4"/>
  <c r="M441" i="4"/>
  <c r="M454" i="4" s="1"/>
  <c r="M447" i="4"/>
  <c r="M691" i="4" s="1"/>
  <c r="AF428" i="4"/>
  <c r="AF699" i="4" s="1"/>
  <c r="AF424" i="4"/>
  <c r="AF695" i="4" s="1"/>
  <c r="AI421" i="4"/>
  <c r="AI420" i="4" s="1"/>
  <c r="AI429" i="4" s="1"/>
  <c r="AI700" i="4" s="1"/>
  <c r="M438" i="4"/>
  <c r="M451" i="4" s="1"/>
  <c r="AG436" i="4"/>
  <c r="AG404" i="4" s="1"/>
  <c r="AG431" i="4"/>
  <c r="AG702" i="4" s="1"/>
  <c r="AG434" i="4"/>
  <c r="AG705" i="4" s="1"/>
  <c r="AF432" i="4"/>
  <c r="AF703" i="4" s="1"/>
  <c r="AD432" i="4"/>
  <c r="AD703" i="4" s="1"/>
  <c r="AD425" i="4"/>
  <c r="AD696" i="4" s="1"/>
  <c r="AD428" i="4"/>
  <c r="AD699" i="4" s="1"/>
  <c r="AD435" i="4"/>
  <c r="AD706" i="4" s="1"/>
  <c r="AG432" i="4"/>
  <c r="AG703" i="4" s="1"/>
  <c r="AG424" i="4"/>
  <c r="AG695" i="4" s="1"/>
  <c r="AF435" i="4"/>
  <c r="AF706" i="4" s="1"/>
  <c r="AF429" i="4"/>
  <c r="AF700" i="4" s="1"/>
  <c r="AF433" i="4"/>
  <c r="AF704" i="4" s="1"/>
  <c r="AF427" i="4"/>
  <c r="AF698" i="4" s="1"/>
  <c r="M439" i="4"/>
  <c r="M683" i="4" s="1"/>
  <c r="AF434" i="4"/>
  <c r="AF705" i="4" s="1"/>
  <c r="AF430" i="4"/>
  <c r="AF701" i="4" s="1"/>
  <c r="M442" i="4"/>
  <c r="M455" i="4" s="1"/>
  <c r="V440" i="4"/>
  <c r="V453" i="4" s="1"/>
  <c r="M445" i="4"/>
  <c r="M458" i="4" s="1"/>
  <c r="M449" i="4"/>
  <c r="M462" i="4" s="1"/>
  <c r="X666" i="4"/>
  <c r="X911" i="4" s="1"/>
  <c r="AD434" i="4"/>
  <c r="AD705" i="4" s="1"/>
  <c r="AD436" i="4"/>
  <c r="AD404" i="4" s="1"/>
  <c r="AD430" i="4"/>
  <c r="AD701" i="4" s="1"/>
  <c r="AD427" i="4"/>
  <c r="AD698" i="4" s="1"/>
  <c r="AD426" i="4"/>
  <c r="AD697" i="4" s="1"/>
  <c r="AD424" i="4"/>
  <c r="AD695" i="4" s="1"/>
  <c r="AD431" i="4"/>
  <c r="AD702" i="4" s="1"/>
  <c r="AD422" i="4"/>
  <c r="M448" i="4"/>
  <c r="M692" i="4" s="1"/>
  <c r="M443" i="4"/>
  <c r="M456" i="4" s="1"/>
  <c r="AA575" i="4"/>
  <c r="AA597" i="4" s="1"/>
  <c r="AA708" i="4"/>
  <c r="M440" i="4"/>
  <c r="M453" i="4" s="1"/>
  <c r="M446" i="4"/>
  <c r="M459" i="4" s="1"/>
  <c r="AJ421" i="4"/>
  <c r="AJ420" i="4" s="1"/>
  <c r="AH420" i="4"/>
  <c r="X452" i="4"/>
  <c r="V447" i="4"/>
  <c r="V460" i="4" s="1"/>
  <c r="P402" i="4"/>
  <c r="P681" i="4"/>
  <c r="O451" i="4"/>
  <c r="O682" i="4"/>
  <c r="L457" i="4"/>
  <c r="L688" i="4"/>
  <c r="K453" i="4"/>
  <c r="K684" i="4"/>
  <c r="AC402" i="4"/>
  <c r="K449" i="4"/>
  <c r="K706" i="4"/>
  <c r="K446" i="4"/>
  <c r="K690" i="4" s="1"/>
  <c r="K703" i="4"/>
  <c r="X447" i="4"/>
  <c r="X704" i="4"/>
  <c r="L441" i="4"/>
  <c r="L698" i="4"/>
  <c r="N447" i="4"/>
  <c r="N704" i="4"/>
  <c r="O446" i="4"/>
  <c r="O703" i="4"/>
  <c r="X441" i="4"/>
  <c r="X685" i="4" s="1"/>
  <c r="X698" i="4"/>
  <c r="W440" i="4"/>
  <c r="W684" i="4" s="1"/>
  <c r="W697" i="4"/>
  <c r="N443" i="4"/>
  <c r="N700" i="4"/>
  <c r="K442" i="4"/>
  <c r="K699" i="4"/>
  <c r="K444" i="4"/>
  <c r="K688" i="4" s="1"/>
  <c r="K701" i="4"/>
  <c r="AE402" i="4"/>
  <c r="V441" i="4"/>
  <c r="W446" i="4"/>
  <c r="W690" i="4" s="1"/>
  <c r="W703" i="4"/>
  <c r="W447" i="4"/>
  <c r="W704" i="4"/>
  <c r="W444" i="4"/>
  <c r="W701" i="4"/>
  <c r="V448" i="4"/>
  <c r="V705" i="4"/>
  <c r="L438" i="4"/>
  <c r="L695" i="4"/>
  <c r="X444" i="4"/>
  <c r="X701" i="4"/>
  <c r="X449" i="4"/>
  <c r="X693" i="4" s="1"/>
  <c r="X706" i="4"/>
  <c r="L447" i="4"/>
  <c r="L704" i="4"/>
  <c r="O444" i="4"/>
  <c r="O701" i="4"/>
  <c r="O440" i="4"/>
  <c r="O697" i="4"/>
  <c r="V442" i="4"/>
  <c r="V699" i="4"/>
  <c r="K443" i="4"/>
  <c r="K700" i="4"/>
  <c r="N449" i="4"/>
  <c r="N706" i="4"/>
  <c r="O447" i="4"/>
  <c r="O704" i="4"/>
  <c r="X443" i="4"/>
  <c r="X700" i="4"/>
  <c r="AB402" i="4"/>
  <c r="O445" i="4"/>
  <c r="V444" i="4"/>
  <c r="V688" i="4" s="1"/>
  <c r="V701" i="4"/>
  <c r="V438" i="4"/>
  <c r="V695" i="4"/>
  <c r="W442" i="4"/>
  <c r="W686" i="4" s="1"/>
  <c r="W699" i="4"/>
  <c r="V446" i="4"/>
  <c r="V690" i="4" s="1"/>
  <c r="V703" i="4"/>
  <c r="K445" i="4"/>
  <c r="K689" i="4" s="1"/>
  <c r="K702" i="4"/>
  <c r="L439" i="4"/>
  <c r="L696" i="4"/>
  <c r="X440" i="4"/>
  <c r="X684" i="4" s="1"/>
  <c r="X697" i="4"/>
  <c r="N444" i="4"/>
  <c r="N701" i="4"/>
  <c r="X445" i="4"/>
  <c r="X702" i="4"/>
  <c r="W443" i="4"/>
  <c r="W687" i="4" s="1"/>
  <c r="W700" i="4"/>
  <c r="W449" i="4"/>
  <c r="W706" i="4"/>
  <c r="O439" i="4"/>
  <c r="O696" i="4"/>
  <c r="W441" i="4"/>
  <c r="W698" i="4"/>
  <c r="W448" i="4"/>
  <c r="W705" i="4"/>
  <c r="K439" i="4"/>
  <c r="K696" i="4"/>
  <c r="AA402" i="4"/>
  <c r="N442" i="4"/>
  <c r="N699" i="4"/>
  <c r="X438" i="4"/>
  <c r="X682" i="4" s="1"/>
  <c r="X695" i="4"/>
  <c r="V445" i="4"/>
  <c r="V702" i="4"/>
  <c r="K447" i="4"/>
  <c r="K704" i="4"/>
  <c r="X446" i="4"/>
  <c r="X703" i="4"/>
  <c r="X448" i="4"/>
  <c r="X692" i="4" s="1"/>
  <c r="X705" i="4"/>
  <c r="X442" i="4"/>
  <c r="X699" i="4"/>
  <c r="N446" i="4"/>
  <c r="N703" i="4"/>
  <c r="O442" i="4"/>
  <c r="O686" i="4" s="1"/>
  <c r="O699" i="4"/>
  <c r="V443" i="4"/>
  <c r="V700" i="4"/>
  <c r="N440" i="4"/>
  <c r="N697" i="4"/>
  <c r="W439" i="4"/>
  <c r="W696" i="4"/>
  <c r="V449" i="4"/>
  <c r="V706" i="4"/>
  <c r="X451" i="4"/>
  <c r="J432" i="4"/>
  <c r="J703" i="4" s="1"/>
  <c r="P430" i="4"/>
  <c r="P701" i="4" s="1"/>
  <c r="J428" i="4"/>
  <c r="J426" i="4"/>
  <c r="Y436" i="4"/>
  <c r="Y433" i="4" s="1"/>
  <c r="Y437" i="4"/>
  <c r="P435" i="4"/>
  <c r="J427" i="4"/>
  <c r="J698" i="4" s="1"/>
  <c r="J430" i="4"/>
  <c r="J431" i="4"/>
  <c r="J702" i="4" s="1"/>
  <c r="Q422" i="4"/>
  <c r="Z404" i="4"/>
  <c r="Z429" i="4"/>
  <c r="Z431" i="4"/>
  <c r="Z435" i="4"/>
  <c r="Z706" i="4" s="1"/>
  <c r="Z428" i="4"/>
  <c r="Z425" i="4"/>
  <c r="Z433" i="4"/>
  <c r="Z430" i="4"/>
  <c r="Z434" i="4"/>
  <c r="Z427" i="4"/>
  <c r="J425" i="4"/>
  <c r="Z432" i="4"/>
  <c r="J429" i="4"/>
  <c r="J434" i="4"/>
  <c r="J424" i="4"/>
  <c r="P404" i="4"/>
  <c r="P424" i="4"/>
  <c r="P433" i="4"/>
  <c r="P431" i="4"/>
  <c r="P702" i="4" s="1"/>
  <c r="P425" i="4"/>
  <c r="P696" i="4" s="1"/>
  <c r="P427" i="4"/>
  <c r="P434" i="4"/>
  <c r="P426" i="4"/>
  <c r="P428" i="4"/>
  <c r="P429" i="4"/>
  <c r="Z424" i="4"/>
  <c r="J433" i="4"/>
  <c r="J435" i="4"/>
  <c r="Z426" i="4"/>
  <c r="Z402" i="4"/>
  <c r="J402" i="4"/>
  <c r="V452" i="4"/>
  <c r="AA409" i="4"/>
  <c r="P450" i="4"/>
  <c r="W445" i="4"/>
  <c r="W438" i="4"/>
  <c r="J450" i="4"/>
  <c r="K448" i="4"/>
  <c r="K438" i="4"/>
  <c r="O448" i="4"/>
  <c r="P446" i="4"/>
  <c r="AC151" i="4"/>
  <c r="AC148" i="4" s="1"/>
  <c r="S151" i="4"/>
  <c r="S148" i="4" s="1"/>
  <c r="O443" i="4"/>
  <c r="K441" i="4"/>
  <c r="AB438" i="4"/>
  <c r="AB682" i="4" s="1"/>
  <c r="AB440" i="4"/>
  <c r="AB684" i="4" s="1"/>
  <c r="AB442" i="4"/>
  <c r="AB686" i="4" s="1"/>
  <c r="AB444" i="4"/>
  <c r="AB688" i="4" s="1"/>
  <c r="AB446" i="4"/>
  <c r="AB690" i="4" s="1"/>
  <c r="AB448" i="4"/>
  <c r="AB692" i="4" s="1"/>
  <c r="AB437" i="4"/>
  <c r="AB681" i="4" s="1"/>
  <c r="AB441" i="4"/>
  <c r="AB685" i="4" s="1"/>
  <c r="AB445" i="4"/>
  <c r="AB689" i="4" s="1"/>
  <c r="AB449" i="4"/>
  <c r="AB693" i="4" s="1"/>
  <c r="AB439" i="4"/>
  <c r="AB683" i="4" s="1"/>
  <c r="AB447" i="4"/>
  <c r="AB691" i="4" s="1"/>
  <c r="AB443" i="4"/>
  <c r="AB687" i="4" s="1"/>
  <c r="L449" i="4"/>
  <c r="O449" i="4"/>
  <c r="AA437" i="4"/>
  <c r="AA681" i="4" s="1"/>
  <c r="N439" i="4"/>
  <c r="L445" i="4"/>
  <c r="AB450" i="4"/>
  <c r="AB452" i="4"/>
  <c r="AB454" i="4"/>
  <c r="AB456" i="4"/>
  <c r="AB458" i="4"/>
  <c r="AB460" i="4"/>
  <c r="AB462" i="4"/>
  <c r="AB451" i="4"/>
  <c r="AB453" i="4"/>
  <c r="AB457" i="4"/>
  <c r="AB461" i="4"/>
  <c r="AB455" i="4"/>
  <c r="AB459" i="4"/>
  <c r="Z450" i="4"/>
  <c r="N448" i="4"/>
  <c r="N445" i="4"/>
  <c r="L440" i="4"/>
  <c r="AC451" i="4"/>
  <c r="AC453" i="4"/>
  <c r="AC455" i="4"/>
  <c r="AC457" i="4"/>
  <c r="AC459" i="4"/>
  <c r="AC461" i="4"/>
  <c r="AC450" i="4"/>
  <c r="AC452" i="4"/>
  <c r="AC456" i="4"/>
  <c r="AC460" i="4"/>
  <c r="AC462" i="4"/>
  <c r="AC454" i="4"/>
  <c r="AC458" i="4"/>
  <c r="O441" i="4"/>
  <c r="AA450" i="4"/>
  <c r="L446" i="4"/>
  <c r="L448" i="4"/>
  <c r="AE450" i="4"/>
  <c r="AE452" i="4"/>
  <c r="AE454" i="4"/>
  <c r="AE456" i="4"/>
  <c r="AE458" i="4"/>
  <c r="AE460" i="4"/>
  <c r="AE462" i="4"/>
  <c r="AE451" i="4"/>
  <c r="AE455" i="4"/>
  <c r="AE459" i="4"/>
  <c r="AE453" i="4"/>
  <c r="AE457" i="4"/>
  <c r="AE461" i="4"/>
  <c r="N441" i="4"/>
  <c r="N438" i="4"/>
  <c r="L443" i="4"/>
  <c r="L442" i="4"/>
  <c r="AA436" i="4"/>
  <c r="AA427" i="4" s="1"/>
  <c r="AA698" i="4" s="1"/>
  <c r="R420" i="4"/>
  <c r="AB409" i="4"/>
  <c r="Q1119" i="4"/>
  <c r="Q1306" i="4"/>
  <c r="AA340" i="4"/>
  <c r="Q1118" i="4"/>
  <c r="AC193" i="3"/>
  <c r="AB186" i="3"/>
  <c r="AB342" i="4" s="1"/>
  <c r="AB188" i="3"/>
  <c r="AB341" i="4" s="1"/>
  <c r="AB187" i="3"/>
  <c r="AC400" i="4"/>
  <c r="Q1117" i="4"/>
  <c r="X1117" i="4"/>
  <c r="AD126" i="3"/>
  <c r="AE1213" i="4" s="1"/>
  <c r="N203" i="3"/>
  <c r="O202" i="3"/>
  <c r="T163" i="4"/>
  <c r="S160" i="4"/>
  <c r="AD121" i="3"/>
  <c r="Z122" i="3"/>
  <c r="Y120" i="3"/>
  <c r="M121" i="3"/>
  <c r="N120" i="3"/>
  <c r="P107" i="3"/>
  <c r="AF196" i="3"/>
  <c r="AE189" i="3"/>
  <c r="P126" i="3"/>
  <c r="AD223" i="3"/>
  <c r="AC222" i="3"/>
  <c r="Z119" i="3"/>
  <c r="Y117" i="3"/>
  <c r="Y576" i="4" s="1"/>
  <c r="Y598" i="4" s="1"/>
  <c r="P111" i="3"/>
  <c r="Q110" i="3"/>
  <c r="P223" i="3"/>
  <c r="Q222" i="3"/>
  <c r="AD104" i="3"/>
  <c r="AD111" i="3"/>
  <c r="AC110" i="3"/>
  <c r="P165" i="4"/>
  <c r="P168" i="4" s="1"/>
  <c r="AC208" i="3"/>
  <c r="AD210" i="3"/>
  <c r="AC209" i="3"/>
  <c r="Q578" i="4"/>
  <c r="P133" i="3"/>
  <c r="AE203" i="3"/>
  <c r="AD202" i="3"/>
  <c r="W1119" i="4"/>
  <c r="AD163" i="4"/>
  <c r="AC160" i="4"/>
  <c r="AB141" i="4"/>
  <c r="AA138" i="4"/>
  <c r="AE190" i="3"/>
  <c r="W1306" i="4"/>
  <c r="W1117" i="4"/>
  <c r="Q208" i="3"/>
  <c r="P210" i="3"/>
  <c r="Q209" i="3"/>
  <c r="R141" i="4"/>
  <c r="Q138" i="4"/>
  <c r="W1118" i="4"/>
  <c r="AC146" i="4"/>
  <c r="AB143" i="4"/>
  <c r="P104" i="3"/>
  <c r="AD128" i="3"/>
  <c r="AE1218" i="4" s="1"/>
  <c r="Z165" i="4"/>
  <c r="Z168" i="4" s="1"/>
  <c r="O196" i="3"/>
  <c r="P189" i="3"/>
  <c r="AB578" i="4"/>
  <c r="AB600" i="4" s="1"/>
  <c r="AC133" i="3"/>
  <c r="AD1243" i="4" s="1"/>
  <c r="S419" i="4"/>
  <c r="S416" i="4" s="1"/>
  <c r="S423" i="4" s="1"/>
  <c r="S694" i="4" s="1"/>
  <c r="S146" i="4"/>
  <c r="R143" i="4"/>
  <c r="AI435" i="4" l="1"/>
  <c r="AI706" i="4" s="1"/>
  <c r="Q186" i="3"/>
  <c r="Q342" i="4" s="1"/>
  <c r="Q187" i="3"/>
  <c r="Q188" i="3"/>
  <c r="Q341" i="4" s="1"/>
  <c r="Q103" i="3"/>
  <c r="Z1255" i="4" s="1"/>
  <c r="R708" i="4"/>
  <c r="R575" i="4"/>
  <c r="S1208" i="4"/>
  <c r="AA1255" i="4"/>
  <c r="R503" i="4"/>
  <c r="R511" i="4" s="1"/>
  <c r="AB708" i="4"/>
  <c r="AA519" i="4"/>
  <c r="AA518" i="4" s="1"/>
  <c r="AC125" i="3"/>
  <c r="AC577" i="4" s="1"/>
  <c r="AC599" i="4" s="1"/>
  <c r="AD129" i="3"/>
  <c r="AD1223" i="4"/>
  <c r="S511" i="4"/>
  <c r="S519" i="4"/>
  <c r="S518" i="4" s="1"/>
  <c r="R1249" i="4"/>
  <c r="Z1250" i="4"/>
  <c r="Q117" i="3"/>
  <c r="Q576" i="4" s="1"/>
  <c r="P118" i="3"/>
  <c r="P131" i="3"/>
  <c r="R1233" i="4"/>
  <c r="Z1234" i="4"/>
  <c r="P105" i="3"/>
  <c r="R1259" i="4"/>
  <c r="Z1260" i="4"/>
  <c r="AC1208" i="4"/>
  <c r="AD131" i="3"/>
  <c r="AD1233" i="4"/>
  <c r="Q1213" i="4"/>
  <c r="Y1214" i="4"/>
  <c r="P132" i="3"/>
  <c r="R1238" i="4"/>
  <c r="Z1239" i="4"/>
  <c r="AD107" i="3"/>
  <c r="AD1269" i="4"/>
  <c r="P106" i="3"/>
  <c r="R1264" i="4"/>
  <c r="Z1265" i="4"/>
  <c r="AC103" i="3"/>
  <c r="AC575" i="4" s="1"/>
  <c r="AC597" i="4" s="1"/>
  <c r="AD1249" i="4"/>
  <c r="AD118" i="3"/>
  <c r="AD132" i="3"/>
  <c r="AD1238" i="4"/>
  <c r="P109" i="3"/>
  <c r="R1274" i="4"/>
  <c r="Z1275" i="4"/>
  <c r="AD108" i="3"/>
  <c r="AD1279" i="4"/>
  <c r="AD106" i="3"/>
  <c r="AD1264" i="4"/>
  <c r="Q1243" i="4"/>
  <c r="Y1244" i="4"/>
  <c r="Q1269" i="4"/>
  <c r="Y1270" i="4"/>
  <c r="AD130" i="3"/>
  <c r="AD1228" i="4"/>
  <c r="P108" i="3"/>
  <c r="R1279" i="4"/>
  <c r="Z1280" i="4"/>
  <c r="Q504" i="4"/>
  <c r="Q124" i="3"/>
  <c r="R1218" i="4"/>
  <c r="Z1219" i="4"/>
  <c r="Q125" i="3"/>
  <c r="Q577" i="4" s="1"/>
  <c r="P128" i="3"/>
  <c r="P130" i="3"/>
  <c r="R1228" i="4"/>
  <c r="Z1229" i="4"/>
  <c r="AD105" i="3"/>
  <c r="AD1259" i="4"/>
  <c r="AB503" i="4"/>
  <c r="AC1254" i="4"/>
  <c r="AK1255" i="4"/>
  <c r="P129" i="3"/>
  <c r="R1223" i="4"/>
  <c r="Z1224" i="4"/>
  <c r="AD109" i="3"/>
  <c r="AD1274" i="4"/>
  <c r="Y1312" i="4"/>
  <c r="Y1307" i="4" s="1"/>
  <c r="Y1117" i="4" s="1"/>
  <c r="AF458" i="4"/>
  <c r="Y1324" i="4"/>
  <c r="Y1319" i="4" s="1"/>
  <c r="AI436" i="4"/>
  <c r="AI404" i="4" s="1"/>
  <c r="X1306" i="4"/>
  <c r="X1118" i="4"/>
  <c r="Z1344" i="4"/>
  <c r="Z1312" i="4" s="1"/>
  <c r="Z1307" i="4" s="1"/>
  <c r="AG460" i="4"/>
  <c r="AG454" i="4"/>
  <c r="AG459" i="4"/>
  <c r="AG450" i="4"/>
  <c r="AG451" i="4"/>
  <c r="AG462" i="4"/>
  <c r="AG452" i="4"/>
  <c r="AG458" i="4"/>
  <c r="AG455" i="4"/>
  <c r="AG457" i="4"/>
  <c r="AF453" i="4"/>
  <c r="AF461" i="4"/>
  <c r="AA715" i="4"/>
  <c r="AA504" i="4" s="1"/>
  <c r="M452" i="4"/>
  <c r="M457" i="4"/>
  <c r="AK421" i="4"/>
  <c r="AK420" i="4" s="1"/>
  <c r="AK427" i="4" s="1"/>
  <c r="AK698" i="4" s="1"/>
  <c r="AI425" i="4"/>
  <c r="AI696" i="4" s="1"/>
  <c r="AF459" i="4"/>
  <c r="AF450" i="4"/>
  <c r="AF402" i="4"/>
  <c r="AG456" i="4"/>
  <c r="AG461" i="4"/>
  <c r="AG453" i="4"/>
  <c r="AF455" i="4"/>
  <c r="AF462" i="4"/>
  <c r="AF454" i="4"/>
  <c r="M685" i="4"/>
  <c r="AI424" i="4"/>
  <c r="AI695" i="4" s="1"/>
  <c r="AF456" i="4"/>
  <c r="AF457" i="4"/>
  <c r="AF451" i="4"/>
  <c r="AF460" i="4"/>
  <c r="X244" i="4"/>
  <c r="W245" i="4"/>
  <c r="AI432" i="4"/>
  <c r="AI703" i="4" s="1"/>
  <c r="AI426" i="4"/>
  <c r="AI697" i="4" s="1"/>
  <c r="AI430" i="4"/>
  <c r="AI701" i="4" s="1"/>
  <c r="AI433" i="4"/>
  <c r="AI704" i="4" s="1"/>
  <c r="AI427" i="4"/>
  <c r="AI698" i="4" s="1"/>
  <c r="M460" i="4"/>
  <c r="AI428" i="4"/>
  <c r="AI699" i="4" s="1"/>
  <c r="AI431" i="4"/>
  <c r="AI702" i="4" s="1"/>
  <c r="AI434" i="4"/>
  <c r="AI705" i="4" s="1"/>
  <c r="M682" i="4"/>
  <c r="AI422" i="4"/>
  <c r="AI451" i="4" s="1"/>
  <c r="M687" i="4"/>
  <c r="M689" i="4"/>
  <c r="M684" i="4"/>
  <c r="M693" i="4"/>
  <c r="V684" i="4"/>
  <c r="V667" i="4" s="1"/>
  <c r="V912" i="4" s="1"/>
  <c r="X675" i="4"/>
  <c r="X920" i="4" s="1"/>
  <c r="X665" i="4"/>
  <c r="X910" i="4" s="1"/>
  <c r="X667" i="4"/>
  <c r="X912" i="4" s="1"/>
  <c r="W669" i="4"/>
  <c r="W914" i="4" s="1"/>
  <c r="V671" i="4"/>
  <c r="V916" i="4" s="1"/>
  <c r="X676" i="4"/>
  <c r="X921" i="4" s="1"/>
  <c r="W673" i="4"/>
  <c r="W918" i="4" s="1"/>
  <c r="M686" i="4"/>
  <c r="W456" i="4"/>
  <c r="X668" i="4"/>
  <c r="X913" i="4" s="1"/>
  <c r="X454" i="4"/>
  <c r="W670" i="4"/>
  <c r="W915" i="4" s="1"/>
  <c r="V673" i="4"/>
  <c r="V918" i="4" s="1"/>
  <c r="W667" i="4"/>
  <c r="W912" i="4" s="1"/>
  <c r="AD453" i="4"/>
  <c r="AD461" i="4"/>
  <c r="AD456" i="4"/>
  <c r="AD455" i="4"/>
  <c r="AD454" i="4"/>
  <c r="AD460" i="4"/>
  <c r="AD450" i="4"/>
  <c r="AD457" i="4"/>
  <c r="AD458" i="4"/>
  <c r="AD462" i="4"/>
  <c r="AD402" i="4"/>
  <c r="AD451" i="4"/>
  <c r="AD459" i="4"/>
  <c r="AD452" i="4"/>
  <c r="M461" i="4"/>
  <c r="V691" i="4"/>
  <c r="V674" i="4" s="1"/>
  <c r="V919" i="4" s="1"/>
  <c r="M690" i="4"/>
  <c r="AH426" i="4"/>
  <c r="AH697" i="4" s="1"/>
  <c r="AH424" i="4"/>
  <c r="AH695" i="4" s="1"/>
  <c r="AH430" i="4"/>
  <c r="AH701" i="4" s="1"/>
  <c r="AH435" i="4"/>
  <c r="AH706" i="4" s="1"/>
  <c r="AH428" i="4"/>
  <c r="AH699" i="4" s="1"/>
  <c r="AH427" i="4"/>
  <c r="AH698" i="4" s="1"/>
  <c r="AH425" i="4"/>
  <c r="AH696" i="4" s="1"/>
  <c r="AH431" i="4"/>
  <c r="AH702" i="4" s="1"/>
  <c r="AH422" i="4"/>
  <c r="AH434" i="4"/>
  <c r="AH705" i="4" s="1"/>
  <c r="AH432" i="4"/>
  <c r="AH703" i="4" s="1"/>
  <c r="AH429" i="4"/>
  <c r="AH700" i="4" s="1"/>
  <c r="AH436" i="4"/>
  <c r="AH404" i="4" s="1"/>
  <c r="AH433" i="4"/>
  <c r="AH704" i="4" s="1"/>
  <c r="AJ427" i="4"/>
  <c r="AJ698" i="4" s="1"/>
  <c r="AJ424" i="4"/>
  <c r="AJ695" i="4" s="1"/>
  <c r="AJ434" i="4"/>
  <c r="AJ705" i="4" s="1"/>
  <c r="AJ436" i="4"/>
  <c r="AJ404" i="4" s="1"/>
  <c r="AJ422" i="4"/>
  <c r="AJ429" i="4"/>
  <c r="AJ700" i="4" s="1"/>
  <c r="AJ428" i="4"/>
  <c r="AJ699" i="4" s="1"/>
  <c r="AJ432" i="4"/>
  <c r="AJ703" i="4" s="1"/>
  <c r="AJ431" i="4"/>
  <c r="AJ702" i="4" s="1"/>
  <c r="AJ430" i="4"/>
  <c r="AJ701" i="4" s="1"/>
  <c r="AJ435" i="4"/>
  <c r="AJ706" i="4" s="1"/>
  <c r="AJ433" i="4"/>
  <c r="AJ704" i="4" s="1"/>
  <c r="AJ425" i="4"/>
  <c r="AJ696" i="4" s="1"/>
  <c r="AJ426" i="4"/>
  <c r="AJ697" i="4" s="1"/>
  <c r="K457" i="4"/>
  <c r="J441" i="4"/>
  <c r="J454" i="4" s="1"/>
  <c r="O455" i="4"/>
  <c r="V459" i="4"/>
  <c r="P444" i="4"/>
  <c r="P688" i="4" s="1"/>
  <c r="W455" i="4"/>
  <c r="P439" i="4"/>
  <c r="P452" i="4" s="1"/>
  <c r="W459" i="4"/>
  <c r="Y435" i="4"/>
  <c r="Y706" i="4" s="1"/>
  <c r="X462" i="4"/>
  <c r="K459" i="4"/>
  <c r="W453" i="4"/>
  <c r="N454" i="4"/>
  <c r="N685" i="4"/>
  <c r="N461" i="4"/>
  <c r="N692" i="4"/>
  <c r="N452" i="4"/>
  <c r="N683" i="4"/>
  <c r="L462" i="4"/>
  <c r="L693" i="4"/>
  <c r="P457" i="4"/>
  <c r="P459" i="4"/>
  <c r="P690" i="4"/>
  <c r="W458" i="4"/>
  <c r="W689" i="4"/>
  <c r="W672" i="4" s="1"/>
  <c r="W917" i="4" s="1"/>
  <c r="W452" i="4"/>
  <c r="W683" i="4"/>
  <c r="W666" i="4" s="1"/>
  <c r="W911" i="4" s="1"/>
  <c r="V456" i="4"/>
  <c r="V687" i="4"/>
  <c r="V670" i="4" s="1"/>
  <c r="V915" i="4" s="1"/>
  <c r="N459" i="4"/>
  <c r="N690" i="4"/>
  <c r="K460" i="4"/>
  <c r="K691" i="4"/>
  <c r="W454" i="4"/>
  <c r="W685" i="4"/>
  <c r="W668" i="4" s="1"/>
  <c r="W913" i="4" s="1"/>
  <c r="W462" i="4"/>
  <c r="W693" i="4"/>
  <c r="W676" i="4" s="1"/>
  <c r="W921" i="4" s="1"/>
  <c r="X458" i="4"/>
  <c r="X689" i="4"/>
  <c r="X672" i="4" s="1"/>
  <c r="X917" i="4" s="1"/>
  <c r="K455" i="4"/>
  <c r="K686" i="4"/>
  <c r="O459" i="4"/>
  <c r="O690" i="4"/>
  <c r="L454" i="4"/>
  <c r="L685" i="4"/>
  <c r="L459" i="4"/>
  <c r="L690" i="4"/>
  <c r="L455" i="4"/>
  <c r="L686" i="4"/>
  <c r="L453" i="4"/>
  <c r="L684" i="4"/>
  <c r="J446" i="4"/>
  <c r="O461" i="4"/>
  <c r="O692" i="4"/>
  <c r="K461" i="4"/>
  <c r="K692" i="4"/>
  <c r="K458" i="4"/>
  <c r="V457" i="4"/>
  <c r="X453" i="4"/>
  <c r="O458" i="4"/>
  <c r="O689" i="4"/>
  <c r="X456" i="4"/>
  <c r="X687" i="4"/>
  <c r="X670" i="4" s="1"/>
  <c r="X915" i="4" s="1"/>
  <c r="N462" i="4"/>
  <c r="N693" i="4"/>
  <c r="V455" i="4"/>
  <c r="V686" i="4"/>
  <c r="V669" i="4" s="1"/>
  <c r="V914" i="4" s="1"/>
  <c r="O457" i="4"/>
  <c r="O688" i="4"/>
  <c r="L451" i="4"/>
  <c r="L682" i="4"/>
  <c r="W457" i="4"/>
  <c r="W688" i="4"/>
  <c r="W671" i="4" s="1"/>
  <c r="W916" i="4" s="1"/>
  <c r="L456" i="4"/>
  <c r="L687" i="4"/>
  <c r="L461" i="4"/>
  <c r="L692" i="4"/>
  <c r="N458" i="4"/>
  <c r="N689" i="4"/>
  <c r="O462" i="4"/>
  <c r="O693" i="4"/>
  <c r="K454" i="4"/>
  <c r="K685" i="4"/>
  <c r="K451" i="4"/>
  <c r="K682" i="4"/>
  <c r="X461" i="4"/>
  <c r="V462" i="4"/>
  <c r="V693" i="4"/>
  <c r="V676" i="4" s="1"/>
  <c r="V921" i="4" s="1"/>
  <c r="N453" i="4"/>
  <c r="N684" i="4"/>
  <c r="X455" i="4"/>
  <c r="X686" i="4"/>
  <c r="X669" i="4" s="1"/>
  <c r="X914" i="4" s="1"/>
  <c r="X459" i="4"/>
  <c r="X690" i="4"/>
  <c r="X673" i="4" s="1"/>
  <c r="X918" i="4" s="1"/>
  <c r="V458" i="4"/>
  <c r="V689" i="4"/>
  <c r="V672" i="4" s="1"/>
  <c r="V917" i="4" s="1"/>
  <c r="N455" i="4"/>
  <c r="N686" i="4"/>
  <c r="W461" i="4"/>
  <c r="W692" i="4"/>
  <c r="W675" i="4" s="1"/>
  <c r="W920" i="4" s="1"/>
  <c r="O452" i="4"/>
  <c r="O683" i="4"/>
  <c r="N457" i="4"/>
  <c r="N688" i="4"/>
  <c r="L452" i="4"/>
  <c r="L683" i="4"/>
  <c r="V451" i="4"/>
  <c r="V682" i="4"/>
  <c r="V665" i="4" s="1"/>
  <c r="V910" i="4" s="1"/>
  <c r="V454" i="4"/>
  <c r="V685" i="4"/>
  <c r="V668" i="4" s="1"/>
  <c r="V913" i="4" s="1"/>
  <c r="N456" i="4"/>
  <c r="N687" i="4"/>
  <c r="N460" i="4"/>
  <c r="N691" i="4"/>
  <c r="X460" i="4"/>
  <c r="X691" i="4"/>
  <c r="X674" i="4" s="1"/>
  <c r="X919" i="4" s="1"/>
  <c r="K462" i="4"/>
  <c r="K693" i="4"/>
  <c r="N451" i="4"/>
  <c r="N682" i="4"/>
  <c r="O454" i="4"/>
  <c r="O685" i="4"/>
  <c r="L458" i="4"/>
  <c r="L689" i="4"/>
  <c r="O456" i="4"/>
  <c r="O687" i="4"/>
  <c r="W451" i="4"/>
  <c r="W682" i="4"/>
  <c r="W665" i="4" s="1"/>
  <c r="W910" i="4" s="1"/>
  <c r="Y402" i="4"/>
  <c r="Y681" i="4"/>
  <c r="K452" i="4"/>
  <c r="K683" i="4"/>
  <c r="O460" i="4"/>
  <c r="O691" i="4"/>
  <c r="K456" i="4"/>
  <c r="K687" i="4"/>
  <c r="O453" i="4"/>
  <c r="O684" i="4"/>
  <c r="L460" i="4"/>
  <c r="L691" i="4"/>
  <c r="X457" i="4"/>
  <c r="X688" i="4"/>
  <c r="X671" i="4" s="1"/>
  <c r="X916" i="4" s="1"/>
  <c r="V461" i="4"/>
  <c r="V692" i="4"/>
  <c r="V675" i="4" s="1"/>
  <c r="V920" i="4" s="1"/>
  <c r="W460" i="4"/>
  <c r="W691" i="4"/>
  <c r="W674" i="4" s="1"/>
  <c r="W919" i="4" s="1"/>
  <c r="P448" i="4"/>
  <c r="P705" i="4"/>
  <c r="J439" i="4"/>
  <c r="J696" i="4"/>
  <c r="J440" i="4"/>
  <c r="J697" i="4"/>
  <c r="J449" i="4"/>
  <c r="J706" i="4"/>
  <c r="P443" i="4"/>
  <c r="P700" i="4"/>
  <c r="P441" i="4"/>
  <c r="P698" i="4"/>
  <c r="P438" i="4"/>
  <c r="P695" i="4"/>
  <c r="J448" i="4"/>
  <c r="J705" i="4"/>
  <c r="Z441" i="4"/>
  <c r="Z698" i="4"/>
  <c r="Z439" i="4"/>
  <c r="Z696" i="4"/>
  <c r="Z443" i="4"/>
  <c r="Z687" i="4" s="1"/>
  <c r="Z700" i="4"/>
  <c r="J444" i="4"/>
  <c r="J701" i="4"/>
  <c r="J442" i="4"/>
  <c r="J699" i="4"/>
  <c r="J438" i="4"/>
  <c r="J695" i="4"/>
  <c r="Z445" i="4"/>
  <c r="Z702" i="4"/>
  <c r="J447" i="4"/>
  <c r="J704" i="4"/>
  <c r="P442" i="4"/>
  <c r="P699" i="4"/>
  <c r="J443" i="4"/>
  <c r="J687" i="4" s="1"/>
  <c r="J700" i="4"/>
  <c r="Z448" i="4"/>
  <c r="Z705" i="4"/>
  <c r="Z442" i="4"/>
  <c r="Z699" i="4"/>
  <c r="Z440" i="4"/>
  <c r="Z684" i="4" s="1"/>
  <c r="Z697" i="4"/>
  <c r="P447" i="4"/>
  <c r="P704" i="4"/>
  <c r="Z447" i="4"/>
  <c r="Z704" i="4"/>
  <c r="P449" i="4"/>
  <c r="P706" i="4"/>
  <c r="Z438" i="4"/>
  <c r="Z695" i="4"/>
  <c r="B695" i="4" s="1"/>
  <c r="P440" i="4"/>
  <c r="P697" i="4"/>
  <c r="Z446" i="4"/>
  <c r="Z703" i="4"/>
  <c r="Z444" i="4"/>
  <c r="Z701" i="4"/>
  <c r="Q436" i="4"/>
  <c r="Q404" i="4" s="1"/>
  <c r="Y447" i="4"/>
  <c r="Y704" i="4"/>
  <c r="Y429" i="4"/>
  <c r="Y427" i="4"/>
  <c r="AA431" i="4"/>
  <c r="AA430" i="4"/>
  <c r="AA425" i="4"/>
  <c r="Y428" i="4"/>
  <c r="Y434" i="4"/>
  <c r="Y426" i="4"/>
  <c r="Y450" i="4"/>
  <c r="Y431" i="4"/>
  <c r="AA433" i="4"/>
  <c r="AA435" i="4"/>
  <c r="Y432" i="4"/>
  <c r="Y425" i="4"/>
  <c r="Q437" i="4"/>
  <c r="Y404" i="4"/>
  <c r="Y430" i="4"/>
  <c r="Y424" i="4"/>
  <c r="AA404" i="4"/>
  <c r="AA424" i="4"/>
  <c r="AA429" i="4"/>
  <c r="AA700" i="4" s="1"/>
  <c r="AA426" i="4"/>
  <c r="AA432" i="4"/>
  <c r="AA428" i="4"/>
  <c r="AA434" i="4"/>
  <c r="AA705" i="4" s="1"/>
  <c r="Z456" i="4"/>
  <c r="AD151" i="4"/>
  <c r="AD148" i="4" s="1"/>
  <c r="P445" i="4"/>
  <c r="T151" i="4"/>
  <c r="T148" i="4" s="1"/>
  <c r="AD400" i="4"/>
  <c r="AE400" i="4" s="1"/>
  <c r="AC438" i="4"/>
  <c r="AC682" i="4" s="1"/>
  <c r="AC440" i="4"/>
  <c r="AC684" i="4" s="1"/>
  <c r="AC442" i="4"/>
  <c r="AC686" i="4" s="1"/>
  <c r="AC444" i="4"/>
  <c r="AC688" i="4" s="1"/>
  <c r="AC446" i="4"/>
  <c r="AC690" i="4" s="1"/>
  <c r="AC448" i="4"/>
  <c r="AC692" i="4" s="1"/>
  <c r="AC437" i="4"/>
  <c r="AC681" i="4" s="1"/>
  <c r="AC441" i="4"/>
  <c r="AC685" i="4" s="1"/>
  <c r="AC445" i="4"/>
  <c r="AC689" i="4" s="1"/>
  <c r="AC449" i="4"/>
  <c r="AC693" i="4" s="1"/>
  <c r="AC439" i="4"/>
  <c r="AC683" i="4" s="1"/>
  <c r="AC447" i="4"/>
  <c r="AC691" i="4" s="1"/>
  <c r="AC443" i="4"/>
  <c r="AC687" i="4" s="1"/>
  <c r="Z449" i="4"/>
  <c r="R422" i="4"/>
  <c r="J445" i="4"/>
  <c r="S420" i="4"/>
  <c r="AB340" i="4"/>
  <c r="AD193" i="3"/>
  <c r="AC187" i="3"/>
  <c r="AC186" i="3"/>
  <c r="AC342" i="4" s="1"/>
  <c r="AC188" i="3"/>
  <c r="AC341" i="4" s="1"/>
  <c r="AC409" i="4"/>
  <c r="N196" i="3"/>
  <c r="O189" i="3"/>
  <c r="AC141" i="4"/>
  <c r="AB138" i="4"/>
  <c r="Y1118" i="4"/>
  <c r="AE223" i="3"/>
  <c r="AD222" i="3"/>
  <c r="O107" i="3"/>
  <c r="U163" i="4"/>
  <c r="T160" i="4"/>
  <c r="AE126" i="3"/>
  <c r="AF1213" i="4" s="1"/>
  <c r="AC578" i="4"/>
  <c r="AC600" i="4" s="1"/>
  <c r="AD133" i="3"/>
  <c r="I437" i="4"/>
  <c r="I402" i="4" s="1"/>
  <c r="AE128" i="3"/>
  <c r="O104" i="3"/>
  <c r="O210" i="3"/>
  <c r="P209" i="3"/>
  <c r="P208" i="3"/>
  <c r="AF190" i="3"/>
  <c r="AE210" i="3"/>
  <c r="AD209" i="3"/>
  <c r="AD208" i="3"/>
  <c r="L121" i="3"/>
  <c r="M120" i="3"/>
  <c r="O190" i="3"/>
  <c r="P188" i="3"/>
  <c r="P341" i="4" s="1"/>
  <c r="P187" i="3"/>
  <c r="P186" i="3"/>
  <c r="P342" i="4" s="1"/>
  <c r="M203" i="3"/>
  <c r="N202" i="3"/>
  <c r="AC124" i="3"/>
  <c r="AD1208" i="4" s="1"/>
  <c r="T419" i="4"/>
  <c r="T416" i="4" s="1"/>
  <c r="T423" i="4" s="1"/>
  <c r="T694" i="4" s="1"/>
  <c r="O111" i="3"/>
  <c r="P110" i="3"/>
  <c r="O126" i="3"/>
  <c r="Q165" i="4"/>
  <c r="Q168" i="4" s="1"/>
  <c r="S141" i="4"/>
  <c r="R138" i="4"/>
  <c r="AA165" i="4"/>
  <c r="AA168" i="4" s="1"/>
  <c r="AE163" i="4"/>
  <c r="AD160" i="4"/>
  <c r="AE202" i="3"/>
  <c r="AF203" i="3"/>
  <c r="P578" i="4"/>
  <c r="O133" i="3"/>
  <c r="AE111" i="3"/>
  <c r="AD110" i="3"/>
  <c r="AA119" i="3"/>
  <c r="Z117" i="3"/>
  <c r="Z576" i="4" s="1"/>
  <c r="Z598" i="4" s="1"/>
  <c r="AA122" i="3"/>
  <c r="Z120" i="3"/>
  <c r="AE121" i="3"/>
  <c r="T146" i="4"/>
  <c r="S143" i="4"/>
  <c r="AD146" i="4"/>
  <c r="AC143" i="4"/>
  <c r="I436" i="4"/>
  <c r="AE104" i="3"/>
  <c r="O223" i="3"/>
  <c r="P222" i="3"/>
  <c r="AF189" i="3"/>
  <c r="AG196" i="3"/>
  <c r="B696" i="4" l="1"/>
  <c r="B697" i="4"/>
  <c r="Q708" i="4"/>
  <c r="Q340" i="4"/>
  <c r="R1254" i="4"/>
  <c r="Q575" i="4"/>
  <c r="Q503" i="4"/>
  <c r="R519" i="4"/>
  <c r="R518" i="4" s="1"/>
  <c r="AD125" i="3"/>
  <c r="AD577" i="4" s="1"/>
  <c r="AD599" i="4" s="1"/>
  <c r="AD103" i="3"/>
  <c r="AD503" i="4" s="1"/>
  <c r="AD519" i="4" s="1"/>
  <c r="AD518" i="4" s="1"/>
  <c r="P124" i="3"/>
  <c r="Y1209" i="4" s="1"/>
  <c r="AK424" i="4"/>
  <c r="AK695" i="4" s="1"/>
  <c r="AD124" i="3"/>
  <c r="AE1208" i="4" s="1"/>
  <c r="AE1243" i="4"/>
  <c r="P1243" i="4"/>
  <c r="X1244" i="4"/>
  <c r="AB519" i="4"/>
  <c r="AB518" i="4" s="1"/>
  <c r="AB511" i="4"/>
  <c r="AE130" i="3"/>
  <c r="AE1228" i="4"/>
  <c r="AE108" i="3"/>
  <c r="AE1279" i="4"/>
  <c r="AC503" i="4"/>
  <c r="AD1254" i="4"/>
  <c r="O132" i="3"/>
  <c r="Q1238" i="4"/>
  <c r="Y1239" i="4"/>
  <c r="O105" i="3"/>
  <c r="Q1259" i="4"/>
  <c r="Y1260" i="4"/>
  <c r="Q1249" i="4"/>
  <c r="Y1250" i="4"/>
  <c r="O118" i="3"/>
  <c r="P117" i="3"/>
  <c r="P576" i="4" s="1"/>
  <c r="P103" i="3"/>
  <c r="P575" i="4" s="1"/>
  <c r="P1269" i="4"/>
  <c r="X1270" i="4"/>
  <c r="O129" i="3"/>
  <c r="Q1223" i="4"/>
  <c r="Y1224" i="4"/>
  <c r="O130" i="3"/>
  <c r="Q1228" i="4"/>
  <c r="Y1229" i="4"/>
  <c r="AE132" i="3"/>
  <c r="AE1238" i="4"/>
  <c r="AE107" i="3"/>
  <c r="AE1269" i="4"/>
  <c r="Y1306" i="4"/>
  <c r="AE109" i="3"/>
  <c r="AE1274" i="4"/>
  <c r="AE105" i="3"/>
  <c r="AE1259" i="4"/>
  <c r="Q1218" i="4"/>
  <c r="Y1219" i="4"/>
  <c r="O128" i="3"/>
  <c r="P125" i="3"/>
  <c r="P577" i="4" s="1"/>
  <c r="R1208" i="4"/>
  <c r="Z1209" i="4"/>
  <c r="O108" i="3"/>
  <c r="Q1279" i="4"/>
  <c r="Y1280" i="4"/>
  <c r="AE106" i="3"/>
  <c r="AE1264" i="4"/>
  <c r="AE1249" i="4"/>
  <c r="AE118" i="3"/>
  <c r="P1213" i="4"/>
  <c r="X1214" i="4"/>
  <c r="AC708" i="4"/>
  <c r="O109" i="3"/>
  <c r="Q1274" i="4"/>
  <c r="Y1275" i="4"/>
  <c r="O106" i="3"/>
  <c r="Q1264" i="4"/>
  <c r="Y1265" i="4"/>
  <c r="AE131" i="3"/>
  <c r="AE1233" i="4"/>
  <c r="O131" i="3"/>
  <c r="Q1233" i="4"/>
  <c r="Y1234" i="4"/>
  <c r="AE129" i="3"/>
  <c r="AE1223" i="4"/>
  <c r="Y1119" i="4"/>
  <c r="Z1318" i="4"/>
  <c r="Z1313" i="4" s="1"/>
  <c r="Z1118" i="4" s="1"/>
  <c r="Z1324" i="4"/>
  <c r="Z1319" i="4" s="1"/>
  <c r="Z1119" i="4" s="1"/>
  <c r="AA1344" i="4"/>
  <c r="AB1344" i="4" s="1"/>
  <c r="AK432" i="4"/>
  <c r="AK703" i="4" s="1"/>
  <c r="AK429" i="4"/>
  <c r="AK700" i="4" s="1"/>
  <c r="AK436" i="4"/>
  <c r="AK404" i="4" s="1"/>
  <c r="AK435" i="4"/>
  <c r="AK706" i="4" s="1"/>
  <c r="AK426" i="4"/>
  <c r="AK697" i="4" s="1"/>
  <c r="AK425" i="4"/>
  <c r="AK696" i="4" s="1"/>
  <c r="AK430" i="4"/>
  <c r="AK701" i="4" s="1"/>
  <c r="AK431" i="4"/>
  <c r="AK702" i="4" s="1"/>
  <c r="AK433" i="4"/>
  <c r="AK704" i="4" s="1"/>
  <c r="AK422" i="4"/>
  <c r="AK402" i="4" s="1"/>
  <c r="AK428" i="4"/>
  <c r="AK699" i="4" s="1"/>
  <c r="AK434" i="4"/>
  <c r="AK705" i="4" s="1"/>
  <c r="AB715" i="4"/>
  <c r="AB504" i="4" s="1"/>
  <c r="X907" i="4"/>
  <c r="W909" i="4"/>
  <c r="V907" i="4"/>
  <c r="W908" i="4"/>
  <c r="W907" i="4"/>
  <c r="V909" i="4"/>
  <c r="X909" i="4"/>
  <c r="X908" i="4"/>
  <c r="X245" i="4"/>
  <c r="Y244" i="4"/>
  <c r="AI454" i="4"/>
  <c r="AI452" i="4"/>
  <c r="AI453" i="4"/>
  <c r="AI459" i="4"/>
  <c r="AI458" i="4"/>
  <c r="AI460" i="4"/>
  <c r="AI456" i="4"/>
  <c r="AI457" i="4"/>
  <c r="AI450" i="4"/>
  <c r="AI455" i="4"/>
  <c r="AI402" i="4"/>
  <c r="AI461" i="4"/>
  <c r="AI462" i="4"/>
  <c r="W663" i="4"/>
  <c r="W580" i="4" s="1"/>
  <c r="J685" i="4"/>
  <c r="X663" i="4"/>
  <c r="X580" i="4" s="1"/>
  <c r="Z667" i="4"/>
  <c r="Z912" i="4" s="1"/>
  <c r="Z670" i="4"/>
  <c r="Z915" i="4" s="1"/>
  <c r="AJ450" i="4"/>
  <c r="AJ458" i="4"/>
  <c r="AJ453" i="4"/>
  <c r="AJ455" i="4"/>
  <c r="AJ456" i="4"/>
  <c r="AJ459" i="4"/>
  <c r="AJ452" i="4"/>
  <c r="AJ460" i="4"/>
  <c r="AJ457" i="4"/>
  <c r="AJ402" i="4"/>
  <c r="AJ454" i="4"/>
  <c r="AJ462" i="4"/>
  <c r="AJ461" i="4"/>
  <c r="AJ451" i="4"/>
  <c r="AH402" i="4"/>
  <c r="AH451" i="4"/>
  <c r="AH459" i="4"/>
  <c r="AH454" i="4"/>
  <c r="AH457" i="4"/>
  <c r="AH460" i="4"/>
  <c r="AH453" i="4"/>
  <c r="AH461" i="4"/>
  <c r="AH458" i="4"/>
  <c r="AH450" i="4"/>
  <c r="AH456" i="4"/>
  <c r="AH455" i="4"/>
  <c r="AH452" i="4"/>
  <c r="AH462" i="4"/>
  <c r="V662" i="4"/>
  <c r="V579" i="4" s="1"/>
  <c r="W661" i="4"/>
  <c r="V661" i="4"/>
  <c r="W662" i="4"/>
  <c r="W579" i="4" s="1"/>
  <c r="X662" i="4"/>
  <c r="X579" i="4" s="1"/>
  <c r="W664" i="4"/>
  <c r="W581" i="4" s="1"/>
  <c r="X664" i="4"/>
  <c r="X581" i="4" s="1"/>
  <c r="V664" i="4"/>
  <c r="V581" i="4" s="1"/>
  <c r="X661" i="4"/>
  <c r="P683" i="4"/>
  <c r="Y449" i="4"/>
  <c r="Y693" i="4" s="1"/>
  <c r="Y676" i="4" s="1"/>
  <c r="Y921" i="4" s="1"/>
  <c r="J456" i="4"/>
  <c r="Q427" i="4"/>
  <c r="Q698" i="4" s="1"/>
  <c r="Q426" i="4"/>
  <c r="Q697" i="4" s="1"/>
  <c r="Z453" i="4"/>
  <c r="Q424" i="4"/>
  <c r="Q695" i="4" s="1"/>
  <c r="Q425" i="4"/>
  <c r="Q696" i="4" s="1"/>
  <c r="Q432" i="4"/>
  <c r="Q703" i="4" s="1"/>
  <c r="Q434" i="4"/>
  <c r="Q448" i="4" s="1"/>
  <c r="Q402" i="4"/>
  <c r="Q681" i="4"/>
  <c r="Z459" i="4"/>
  <c r="Z690" i="4"/>
  <c r="Z673" i="4" s="1"/>
  <c r="Z918" i="4" s="1"/>
  <c r="Z451" i="4"/>
  <c r="Z682" i="4"/>
  <c r="Z460" i="4"/>
  <c r="Z691" i="4"/>
  <c r="Z674" i="4" s="1"/>
  <c r="Z919" i="4" s="1"/>
  <c r="Z461" i="4"/>
  <c r="Z692" i="4"/>
  <c r="Z675" i="4" s="1"/>
  <c r="Z920" i="4" s="1"/>
  <c r="P455" i="4"/>
  <c r="P686" i="4"/>
  <c r="Z458" i="4"/>
  <c r="Z689" i="4"/>
  <c r="Z672" i="4" s="1"/>
  <c r="Z917" i="4" s="1"/>
  <c r="J455" i="4"/>
  <c r="J686" i="4"/>
  <c r="Z454" i="4"/>
  <c r="Z685" i="4"/>
  <c r="P451" i="4"/>
  <c r="P682" i="4"/>
  <c r="P456" i="4"/>
  <c r="P687" i="4"/>
  <c r="J453" i="4"/>
  <c r="J684" i="4"/>
  <c r="P461" i="4"/>
  <c r="P692" i="4"/>
  <c r="Z462" i="4"/>
  <c r="Z693" i="4"/>
  <c r="Z676" i="4" s="1"/>
  <c r="Z921" i="4" s="1"/>
  <c r="Q435" i="4"/>
  <c r="Q706" i="4" s="1"/>
  <c r="Q429" i="4"/>
  <c r="Q443" i="4" s="1"/>
  <c r="Q431" i="4"/>
  <c r="Q702" i="4" s="1"/>
  <c r="J459" i="4"/>
  <c r="J690" i="4"/>
  <c r="Z457" i="4"/>
  <c r="Z688" i="4"/>
  <c r="Z671" i="4" s="1"/>
  <c r="Z916" i="4" s="1"/>
  <c r="P453" i="4"/>
  <c r="P684" i="4"/>
  <c r="P462" i="4"/>
  <c r="P693" i="4"/>
  <c r="P460" i="4"/>
  <c r="P691" i="4"/>
  <c r="Z455" i="4"/>
  <c r="Z686" i="4"/>
  <c r="Z669" i="4" s="1"/>
  <c r="Z914" i="4" s="1"/>
  <c r="J460" i="4"/>
  <c r="J691" i="4"/>
  <c r="J451" i="4"/>
  <c r="J682" i="4"/>
  <c r="J457" i="4"/>
  <c r="J688" i="4"/>
  <c r="Z452" i="4"/>
  <c r="Z683" i="4"/>
  <c r="Z666" i="4" s="1"/>
  <c r="Z911" i="4" s="1"/>
  <c r="J461" i="4"/>
  <c r="J692" i="4"/>
  <c r="P454" i="4"/>
  <c r="P685" i="4"/>
  <c r="J462" i="4"/>
  <c r="J693" i="4"/>
  <c r="J452" i="4"/>
  <c r="J683" i="4"/>
  <c r="J458" i="4"/>
  <c r="J689" i="4"/>
  <c r="P458" i="4"/>
  <c r="P689" i="4"/>
  <c r="Q433" i="4"/>
  <c r="Q704" i="4" s="1"/>
  <c r="Y460" i="4"/>
  <c r="Y691" i="4"/>
  <c r="Y674" i="4" s="1"/>
  <c r="Y919" i="4" s="1"/>
  <c r="AA458" i="4"/>
  <c r="AA702" i="4"/>
  <c r="AA451" i="4"/>
  <c r="AA695" i="4"/>
  <c r="AA462" i="4"/>
  <c r="AA706" i="4"/>
  <c r="AA457" i="4"/>
  <c r="AA701" i="4"/>
  <c r="Y448" i="4"/>
  <c r="Y705" i="4"/>
  <c r="AA442" i="4"/>
  <c r="AA686" i="4" s="1"/>
  <c r="AA699" i="4"/>
  <c r="Y442" i="4"/>
  <c r="Y699" i="4"/>
  <c r="Y441" i="4"/>
  <c r="Y698" i="4"/>
  <c r="Q430" i="4"/>
  <c r="AA446" i="4"/>
  <c r="AA690" i="4" s="1"/>
  <c r="AA703" i="4"/>
  <c r="Y444" i="4"/>
  <c r="Y701" i="4"/>
  <c r="Y439" i="4"/>
  <c r="Y696" i="4"/>
  <c r="AA447" i="4"/>
  <c r="AA691" i="4" s="1"/>
  <c r="AA704" i="4"/>
  <c r="Q428" i="4"/>
  <c r="Y443" i="4"/>
  <c r="Y700" i="4"/>
  <c r="Q440" i="4"/>
  <c r="AA439" i="4"/>
  <c r="AA683" i="4" s="1"/>
  <c r="AA696" i="4"/>
  <c r="AA440" i="4"/>
  <c r="AA684" i="4" s="1"/>
  <c r="AA697" i="4"/>
  <c r="Y438" i="4"/>
  <c r="Y682" i="4" s="1"/>
  <c r="Y695" i="4"/>
  <c r="Y446" i="4"/>
  <c r="Y703" i="4"/>
  <c r="Y445" i="4"/>
  <c r="Y702" i="4"/>
  <c r="Y440" i="4"/>
  <c r="Y697" i="4"/>
  <c r="Q450" i="4"/>
  <c r="AA438" i="4"/>
  <c r="AA682" i="4" s="1"/>
  <c r="AA453" i="4"/>
  <c r="I404" i="4"/>
  <c r="I431" i="4"/>
  <c r="I702" i="4" s="1"/>
  <c r="I432" i="4"/>
  <c r="I703" i="4" s="1"/>
  <c r="I424" i="4"/>
  <c r="I695" i="4" s="1"/>
  <c r="I428" i="4"/>
  <c r="I699" i="4" s="1"/>
  <c r="I425" i="4"/>
  <c r="I435" i="4"/>
  <c r="I706" i="4" s="1"/>
  <c r="I433" i="4"/>
  <c r="I704" i="4" s="1"/>
  <c r="I427" i="4"/>
  <c r="I698" i="4" s="1"/>
  <c r="I429" i="4"/>
  <c r="I700" i="4" s="1"/>
  <c r="I434" i="4"/>
  <c r="I705" i="4" s="1"/>
  <c r="I430" i="4"/>
  <c r="I701" i="4" s="1"/>
  <c r="I426" i="4"/>
  <c r="I697" i="4" s="1"/>
  <c r="AA449" i="4"/>
  <c r="AA693" i="4" s="1"/>
  <c r="R436" i="4"/>
  <c r="R426" i="4" s="1"/>
  <c r="R697" i="4" s="1"/>
  <c r="AA460" i="4"/>
  <c r="AA452" i="4"/>
  <c r="AA459" i="4"/>
  <c r="AD409" i="4"/>
  <c r="AA444" i="4"/>
  <c r="AA688" i="4" s="1"/>
  <c r="AA671" i="4" s="1"/>
  <c r="AA916" i="4" s="1"/>
  <c r="AE151" i="4"/>
  <c r="AE148" i="4" s="1"/>
  <c r="AA445" i="4"/>
  <c r="AA689" i="4" s="1"/>
  <c r="AA672" i="4" s="1"/>
  <c r="AA917" i="4" s="1"/>
  <c r="AA448" i="4"/>
  <c r="AA692" i="4" s="1"/>
  <c r="AA675" i="4" s="1"/>
  <c r="AA920" i="4" s="1"/>
  <c r="AA461" i="4"/>
  <c r="AA455" i="4"/>
  <c r="U151" i="4"/>
  <c r="U148" i="4" s="1"/>
  <c r="AA443" i="4"/>
  <c r="AA687" i="4" s="1"/>
  <c r="AA456" i="4"/>
  <c r="AD437" i="4"/>
  <c r="AD681" i="4" s="1"/>
  <c r="AD439" i="4"/>
  <c r="AD683" i="4" s="1"/>
  <c r="AD441" i="4"/>
  <c r="AD685" i="4" s="1"/>
  <c r="AD443" i="4"/>
  <c r="AD687" i="4" s="1"/>
  <c r="AD445" i="4"/>
  <c r="AD689" i="4" s="1"/>
  <c r="AD447" i="4"/>
  <c r="AD691" i="4" s="1"/>
  <c r="AD449" i="4"/>
  <c r="AD693" i="4" s="1"/>
  <c r="AD440" i="4"/>
  <c r="AD684" i="4" s="1"/>
  <c r="AD444" i="4"/>
  <c r="AD688" i="4" s="1"/>
  <c r="AD448" i="4"/>
  <c r="AD692" i="4" s="1"/>
  <c r="AD442" i="4"/>
  <c r="AD686" i="4" s="1"/>
  <c r="AD438" i="4"/>
  <c r="AD682" i="4" s="1"/>
  <c r="AD446" i="4"/>
  <c r="AD690" i="4" s="1"/>
  <c r="S422" i="4"/>
  <c r="I681" i="4"/>
  <c r="R437" i="4"/>
  <c r="R681" i="4" s="1"/>
  <c r="AF400" i="4"/>
  <c r="AE437" i="4"/>
  <c r="AE681" i="4" s="1"/>
  <c r="AE439" i="4"/>
  <c r="AE683" i="4" s="1"/>
  <c r="AE441" i="4"/>
  <c r="AE685" i="4" s="1"/>
  <c r="AE443" i="4"/>
  <c r="AE687" i="4" s="1"/>
  <c r="AE445" i="4"/>
  <c r="AE689" i="4" s="1"/>
  <c r="AE447" i="4"/>
  <c r="AE691" i="4" s="1"/>
  <c r="AE449" i="4"/>
  <c r="AE693" i="4" s="1"/>
  <c r="AE440" i="4"/>
  <c r="AE684" i="4" s="1"/>
  <c r="AE444" i="4"/>
  <c r="AE688" i="4" s="1"/>
  <c r="AE448" i="4"/>
  <c r="AE692" i="4" s="1"/>
  <c r="AE438" i="4"/>
  <c r="AE682" i="4" s="1"/>
  <c r="AE446" i="4"/>
  <c r="AE690" i="4" s="1"/>
  <c r="AE442" i="4"/>
  <c r="AE686" i="4" s="1"/>
  <c r="AA454" i="4"/>
  <c r="AA441" i="4"/>
  <c r="AA685" i="4" s="1"/>
  <c r="T420" i="4"/>
  <c r="AC340" i="4"/>
  <c r="AE193" i="3"/>
  <c r="AD188" i="3"/>
  <c r="AD341" i="4" s="1"/>
  <c r="AD186" i="3"/>
  <c r="AD342" i="4" s="1"/>
  <c r="AD187" i="3"/>
  <c r="I450" i="4"/>
  <c r="P340" i="4"/>
  <c r="AE409" i="4"/>
  <c r="AF104" i="3"/>
  <c r="AB119" i="3"/>
  <c r="AA117" i="3"/>
  <c r="AA576" i="4" s="1"/>
  <c r="AA598" i="4" s="1"/>
  <c r="T141" i="4"/>
  <c r="S138" i="4"/>
  <c r="K121" i="3"/>
  <c r="L120" i="3"/>
  <c r="N107" i="3"/>
  <c r="AE222" i="3"/>
  <c r="AF223" i="3"/>
  <c r="M196" i="3"/>
  <c r="N189" i="3"/>
  <c r="Z1117" i="4"/>
  <c r="AF121" i="3"/>
  <c r="AF163" i="4"/>
  <c r="AE160" i="4"/>
  <c r="R165" i="4"/>
  <c r="R168" i="4" s="1"/>
  <c r="L203" i="3"/>
  <c r="M202" i="3"/>
  <c r="N210" i="3"/>
  <c r="O209" i="3"/>
  <c r="O208" i="3"/>
  <c r="AF126" i="3"/>
  <c r="AG1213" i="4" s="1"/>
  <c r="AB165" i="4"/>
  <c r="AE146" i="4"/>
  <c r="AD143" i="4"/>
  <c r="N104" i="3"/>
  <c r="AH196" i="3"/>
  <c r="AG189" i="3"/>
  <c r="N223" i="3"/>
  <c r="O222" i="3"/>
  <c r="U146" i="4"/>
  <c r="T143" i="4"/>
  <c r="AG203" i="3"/>
  <c r="AF202" i="3"/>
  <c r="N111" i="3"/>
  <c r="O110" i="3"/>
  <c r="U419" i="4"/>
  <c r="U416" i="4" s="1"/>
  <c r="U423" i="4" s="1"/>
  <c r="U694" i="4" s="1"/>
  <c r="O186" i="3"/>
  <c r="O342" i="4" s="1"/>
  <c r="N190" i="3"/>
  <c r="O188" i="3"/>
  <c r="O341" i="4" s="1"/>
  <c r="O187" i="3"/>
  <c r="AD141" i="4"/>
  <c r="AC138" i="4"/>
  <c r="AB122" i="3"/>
  <c r="AA120" i="3"/>
  <c r="O578" i="4"/>
  <c r="P600" i="4" s="1"/>
  <c r="N133" i="3"/>
  <c r="N126" i="3"/>
  <c r="AF111" i="3"/>
  <c r="AE110" i="3"/>
  <c r="AF210" i="3"/>
  <c r="AE209" i="3"/>
  <c r="AE208" i="3"/>
  <c r="AG190" i="3"/>
  <c r="AD578" i="4"/>
  <c r="AD600" i="4" s="1"/>
  <c r="AE133" i="3"/>
  <c r="AF1243" i="4" s="1"/>
  <c r="V163" i="4"/>
  <c r="U160" i="4"/>
  <c r="B683" i="4" l="1"/>
  <c r="Z668" i="4"/>
  <c r="Z913" i="4" s="1"/>
  <c r="B684" i="4"/>
  <c r="Z910" i="4"/>
  <c r="Z908" i="4" s="1"/>
  <c r="B682" i="4"/>
  <c r="Z665" i="4"/>
  <c r="AA676" i="4"/>
  <c r="AA921" i="4" s="1"/>
  <c r="AD708" i="4"/>
  <c r="AE1254" i="4"/>
  <c r="AD575" i="4"/>
  <c r="AD597" i="4" s="1"/>
  <c r="Q511" i="4"/>
  <c r="Q519" i="4"/>
  <c r="Q518" i="4" s="1"/>
  <c r="AE125" i="3"/>
  <c r="AE577" i="4" s="1"/>
  <c r="AE599" i="4" s="1"/>
  <c r="Q1208" i="4"/>
  <c r="O103" i="3"/>
  <c r="P1254" i="4" s="1"/>
  <c r="O124" i="3"/>
  <c r="P1208" i="4" s="1"/>
  <c r="AE103" i="3"/>
  <c r="AE708" i="4" s="1"/>
  <c r="P503" i="4"/>
  <c r="AD511" i="4"/>
  <c r="O1213" i="4"/>
  <c r="W1214" i="4"/>
  <c r="O1243" i="4"/>
  <c r="W1244" i="4"/>
  <c r="AF129" i="3"/>
  <c r="AF1223" i="4"/>
  <c r="N106" i="3"/>
  <c r="P1264" i="4"/>
  <c r="X1265" i="4"/>
  <c r="AF106" i="3"/>
  <c r="AF1264" i="4"/>
  <c r="AF107" i="3"/>
  <c r="AF1269" i="4"/>
  <c r="N129" i="3"/>
  <c r="P1223" i="4"/>
  <c r="X1224" i="4"/>
  <c r="N105" i="3"/>
  <c r="P1259" i="4"/>
  <c r="X1260" i="4"/>
  <c r="AF131" i="3"/>
  <c r="AF1233" i="4"/>
  <c r="AF1249" i="4"/>
  <c r="AF118" i="3"/>
  <c r="AF109" i="3"/>
  <c r="AF1274" i="4"/>
  <c r="N130" i="3"/>
  <c r="P1228" i="4"/>
  <c r="X1229" i="4"/>
  <c r="AC519" i="4"/>
  <c r="AC518" i="4" s="1"/>
  <c r="AC511" i="4"/>
  <c r="AF130" i="3"/>
  <c r="AF1228" i="4"/>
  <c r="O1269" i="4"/>
  <c r="W1270" i="4"/>
  <c r="AF132" i="3"/>
  <c r="AF1238" i="4"/>
  <c r="N131" i="3"/>
  <c r="P1233" i="4"/>
  <c r="X1234" i="4"/>
  <c r="N109" i="3"/>
  <c r="P1274" i="4"/>
  <c r="X1275" i="4"/>
  <c r="N108" i="3"/>
  <c r="P1279" i="4"/>
  <c r="X1280" i="4"/>
  <c r="P1218" i="4"/>
  <c r="X1219" i="4"/>
  <c r="N128" i="3"/>
  <c r="O125" i="3"/>
  <c r="O577" i="4" s="1"/>
  <c r="AF105" i="3"/>
  <c r="AF1259" i="4"/>
  <c r="Q1254" i="4"/>
  <c r="Y1255" i="4"/>
  <c r="P1249" i="4"/>
  <c r="X1250" i="4"/>
  <c r="O117" i="3"/>
  <c r="O576" i="4" s="1"/>
  <c r="N118" i="3"/>
  <c r="N132" i="3"/>
  <c r="P1238" i="4"/>
  <c r="X1239" i="4"/>
  <c r="AF108" i="3"/>
  <c r="AF1279" i="4"/>
  <c r="Z1306" i="4"/>
  <c r="R600" i="4"/>
  <c r="Q600" i="4"/>
  <c r="AA1318" i="4"/>
  <c r="AA1324" i="4"/>
  <c r="AK456" i="4"/>
  <c r="AA1312" i="4"/>
  <c r="AK453" i="4"/>
  <c r="AK459" i="4"/>
  <c r="AK451" i="4"/>
  <c r="AK461" i="4"/>
  <c r="AK460" i="4"/>
  <c r="AK450" i="4"/>
  <c r="AK452" i="4"/>
  <c r="AK455" i="4"/>
  <c r="AK457" i="4"/>
  <c r="AK454" i="4"/>
  <c r="AK462" i="4"/>
  <c r="AK458" i="4"/>
  <c r="AC715" i="4"/>
  <c r="AC504" i="4" s="1"/>
  <c r="AB666" i="4"/>
  <c r="AB911" i="4" s="1"/>
  <c r="AB669" i="4"/>
  <c r="AB914" i="4" s="1"/>
  <c r="AB665" i="4"/>
  <c r="AB171" i="4" s="1"/>
  <c r="AB170" i="4" s="1"/>
  <c r="AB676" i="4"/>
  <c r="AB921" i="4" s="1"/>
  <c r="AB673" i="4"/>
  <c r="AB918" i="4" s="1"/>
  <c r="AB668" i="4"/>
  <c r="AB174" i="4" s="1"/>
  <c r="AB675" i="4"/>
  <c r="AB920" i="4" s="1"/>
  <c r="AB672" i="4"/>
  <c r="AB917" i="4" s="1"/>
  <c r="AB674" i="4"/>
  <c r="AB919" i="4" s="1"/>
  <c r="AB670" i="4"/>
  <c r="AB176" i="4" s="1"/>
  <c r="AB667" i="4"/>
  <c r="AB912" i="4" s="1"/>
  <c r="AB671" i="4"/>
  <c r="AB916" i="4" s="1"/>
  <c r="Z909" i="4"/>
  <c r="Z907" i="4"/>
  <c r="Z244" i="4"/>
  <c r="Y245" i="4"/>
  <c r="Z174" i="4"/>
  <c r="Z178" i="4"/>
  <c r="Z181" i="4"/>
  <c r="Z171" i="4"/>
  <c r="Z176" i="4"/>
  <c r="Z172" i="4"/>
  <c r="Z177" i="4"/>
  <c r="AA177" i="4"/>
  <c r="Y180" i="4"/>
  <c r="AB168" i="4"/>
  <c r="AA181" i="4"/>
  <c r="Z173" i="4"/>
  <c r="Z175" i="4"/>
  <c r="AA178" i="4"/>
  <c r="AA182" i="4"/>
  <c r="Z182" i="4"/>
  <c r="Z180" i="4"/>
  <c r="Z179" i="4"/>
  <c r="Y182" i="4"/>
  <c r="Z663" i="4"/>
  <c r="Y665" i="4"/>
  <c r="Y910" i="4" s="1"/>
  <c r="AA667" i="4"/>
  <c r="AA912" i="4" s="1"/>
  <c r="AA674" i="4"/>
  <c r="AA919" i="4" s="1"/>
  <c r="AA668" i="4"/>
  <c r="AA669" i="4"/>
  <c r="AA914" i="4" s="1"/>
  <c r="AA666" i="4"/>
  <c r="AA911" i="4" s="1"/>
  <c r="AA673" i="4"/>
  <c r="AA918" i="4" s="1"/>
  <c r="AA670" i="4"/>
  <c r="AA665" i="4"/>
  <c r="Y462" i="4"/>
  <c r="Z664" i="4"/>
  <c r="Z581" i="4" s="1"/>
  <c r="Q449" i="4"/>
  <c r="Q462" i="4" s="1"/>
  <c r="Z661" i="4"/>
  <c r="Z662" i="4"/>
  <c r="Q700" i="4"/>
  <c r="Q438" i="4"/>
  <c r="Q451" i="4" s="1"/>
  <c r="Q447" i="4"/>
  <c r="Q691" i="4" s="1"/>
  <c r="Q674" i="4" s="1"/>
  <c r="Q919" i="4" s="1"/>
  <c r="Q441" i="4"/>
  <c r="Q685" i="4" s="1"/>
  <c r="Q668" i="4" s="1"/>
  <c r="Q913" i="4" s="1"/>
  <c r="Q439" i="4"/>
  <c r="Q683" i="4" s="1"/>
  <c r="Q666" i="4" s="1"/>
  <c r="Q911" i="4" s="1"/>
  <c r="Q445" i="4"/>
  <c r="Q458" i="4" s="1"/>
  <c r="Q705" i="4"/>
  <c r="Q446" i="4"/>
  <c r="Q459" i="4" s="1"/>
  <c r="Y451" i="4"/>
  <c r="Y452" i="4"/>
  <c r="Y683" i="4"/>
  <c r="Y666" i="4" s="1"/>
  <c r="Y911" i="4" s="1"/>
  <c r="Y453" i="4"/>
  <c r="Y684" i="4"/>
  <c r="Y667" i="4" s="1"/>
  <c r="Y912" i="4" s="1"/>
  <c r="Y459" i="4"/>
  <c r="Y690" i="4"/>
  <c r="Y673" i="4" s="1"/>
  <c r="Y918" i="4" s="1"/>
  <c r="Q453" i="4"/>
  <c r="Q684" i="4"/>
  <c r="Q667" i="4" s="1"/>
  <c r="Q912" i="4" s="1"/>
  <c r="Y455" i="4"/>
  <c r="Y686" i="4"/>
  <c r="Y669" i="4" s="1"/>
  <c r="Y914" i="4" s="1"/>
  <c r="Y461" i="4"/>
  <c r="Y692" i="4"/>
  <c r="Y675" i="4" s="1"/>
  <c r="Y920" i="4" s="1"/>
  <c r="Y457" i="4"/>
  <c r="Y688" i="4"/>
  <c r="Y671" i="4" s="1"/>
  <c r="Y916" i="4" s="1"/>
  <c r="Q461" i="4"/>
  <c r="Q692" i="4"/>
  <c r="Y458" i="4"/>
  <c r="Y689" i="4"/>
  <c r="Y672" i="4" s="1"/>
  <c r="Y917" i="4" s="1"/>
  <c r="Y456" i="4"/>
  <c r="Y687" i="4"/>
  <c r="Y670" i="4" s="1"/>
  <c r="Y915" i="4" s="1"/>
  <c r="Y454" i="4"/>
  <c r="Y685" i="4"/>
  <c r="Y668" i="4" s="1"/>
  <c r="Y913" i="4" s="1"/>
  <c r="Q456" i="4"/>
  <c r="Q687" i="4"/>
  <c r="Q670" i="4" s="1"/>
  <c r="Q915" i="4" s="1"/>
  <c r="I439" i="4"/>
  <c r="I683" i="4" s="1"/>
  <c r="I696" i="4"/>
  <c r="Q444" i="4"/>
  <c r="Q701" i="4"/>
  <c r="Q442" i="4"/>
  <c r="Q699" i="4"/>
  <c r="R433" i="4"/>
  <c r="R704" i="4" s="1"/>
  <c r="R429" i="4"/>
  <c r="R700" i="4" s="1"/>
  <c r="R431" i="4"/>
  <c r="R702" i="4" s="1"/>
  <c r="R424" i="4"/>
  <c r="R432" i="4"/>
  <c r="R703" i="4" s="1"/>
  <c r="R404" i="4"/>
  <c r="R434" i="4"/>
  <c r="R705" i="4" s="1"/>
  <c r="R425" i="4"/>
  <c r="R428" i="4"/>
  <c r="R427" i="4"/>
  <c r="R698" i="4" s="1"/>
  <c r="R430" i="4"/>
  <c r="R701" i="4" s="1"/>
  <c r="R435" i="4"/>
  <c r="R450" i="4"/>
  <c r="R402" i="4"/>
  <c r="S436" i="4"/>
  <c r="S430" i="4" s="1"/>
  <c r="S701" i="4" s="1"/>
  <c r="V151" i="4"/>
  <c r="V148" i="4" s="1"/>
  <c r="AF151" i="4"/>
  <c r="I440" i="4"/>
  <c r="AG400" i="4"/>
  <c r="T422" i="4"/>
  <c r="I438" i="4"/>
  <c r="S437" i="4"/>
  <c r="S681" i="4" s="1"/>
  <c r="AF438" i="4"/>
  <c r="AF682" i="4" s="1"/>
  <c r="AF440" i="4"/>
  <c r="AF684" i="4" s="1"/>
  <c r="AF442" i="4"/>
  <c r="AF686" i="4" s="1"/>
  <c r="AF444" i="4"/>
  <c r="AF688" i="4" s="1"/>
  <c r="AF446" i="4"/>
  <c r="AF690" i="4" s="1"/>
  <c r="AF448" i="4"/>
  <c r="AF692" i="4" s="1"/>
  <c r="AF439" i="4"/>
  <c r="AF683" i="4" s="1"/>
  <c r="AF443" i="4"/>
  <c r="AF687" i="4" s="1"/>
  <c r="AF447" i="4"/>
  <c r="AF691" i="4" s="1"/>
  <c r="AF437" i="4"/>
  <c r="AF681" i="4" s="1"/>
  <c r="AF445" i="4"/>
  <c r="AF689" i="4" s="1"/>
  <c r="AF441" i="4"/>
  <c r="AF685" i="4" s="1"/>
  <c r="AF449" i="4"/>
  <c r="AF693" i="4" s="1"/>
  <c r="AF409" i="4"/>
  <c r="R440" i="4"/>
  <c r="I441" i="4"/>
  <c r="U420" i="4"/>
  <c r="AD340" i="4"/>
  <c r="AF193" i="3"/>
  <c r="AE188" i="3"/>
  <c r="AE341" i="4" s="1"/>
  <c r="AE187" i="3"/>
  <c r="AE186" i="3"/>
  <c r="AE342" i="4" s="1"/>
  <c r="O340" i="4"/>
  <c r="S600" i="4"/>
  <c r="AC1344" i="4"/>
  <c r="AB1312" i="4"/>
  <c r="AB1324" i="4"/>
  <c r="AB1318" i="4"/>
  <c r="M223" i="3"/>
  <c r="N222" i="3"/>
  <c r="M107" i="3"/>
  <c r="S165" i="4"/>
  <c r="S168" i="4" s="1"/>
  <c r="AC119" i="3"/>
  <c r="AB117" i="3"/>
  <c r="AB576" i="4" s="1"/>
  <c r="AB598" i="4" s="1"/>
  <c r="AG104" i="3"/>
  <c r="AC165" i="4"/>
  <c r="AE141" i="4"/>
  <c r="AD138" i="4"/>
  <c r="N187" i="3"/>
  <c r="N186" i="3"/>
  <c r="N342" i="4" s="1"/>
  <c r="M190" i="3"/>
  <c r="N188" i="3"/>
  <c r="N341" i="4" s="1"/>
  <c r="AF146" i="4"/>
  <c r="AE143" i="4"/>
  <c r="AG126" i="3"/>
  <c r="AH1213" i="4" s="1"/>
  <c r="K203" i="3"/>
  <c r="L202" i="3"/>
  <c r="AG163" i="4"/>
  <c r="AF160" i="4"/>
  <c r="AE578" i="4"/>
  <c r="AE600" i="4" s="1"/>
  <c r="AF133" i="3"/>
  <c r="AE124" i="3"/>
  <c r="J121" i="3"/>
  <c r="K120" i="3"/>
  <c r="M126" i="3"/>
  <c r="AH203" i="3"/>
  <c r="AG202" i="3"/>
  <c r="V146" i="4"/>
  <c r="U143" i="4"/>
  <c r="AI196" i="3"/>
  <c r="AH189" i="3"/>
  <c r="M210" i="3"/>
  <c r="N209" i="3"/>
  <c r="N208" i="3"/>
  <c r="AG223" i="3"/>
  <c r="AF222" i="3"/>
  <c r="U141" i="4"/>
  <c r="T138" i="4"/>
  <c r="AF209" i="3"/>
  <c r="AF208" i="3"/>
  <c r="AG210" i="3"/>
  <c r="AF110" i="3"/>
  <c r="AG111" i="3"/>
  <c r="W163" i="4"/>
  <c r="V160" i="4"/>
  <c r="AH190" i="3"/>
  <c r="N578" i="4"/>
  <c r="M133" i="3"/>
  <c r="AC122" i="3"/>
  <c r="AB120" i="3"/>
  <c r="M111" i="3"/>
  <c r="N110" i="3"/>
  <c r="M104" i="3"/>
  <c r="AG121" i="3"/>
  <c r="L196" i="3"/>
  <c r="M189" i="3"/>
  <c r="AE575" i="4" l="1"/>
  <c r="AE597" i="4" s="1"/>
  <c r="AB177" i="4"/>
  <c r="O503" i="4"/>
  <c r="O575" i="4"/>
  <c r="P597" i="4" s="1"/>
  <c r="X1255" i="4"/>
  <c r="X1209" i="4"/>
  <c r="AF1254" i="4"/>
  <c r="AE503" i="4"/>
  <c r="AE511" i="4" s="1"/>
  <c r="AF103" i="3"/>
  <c r="AF503" i="4" s="1"/>
  <c r="AF511" i="4" s="1"/>
  <c r="N124" i="3"/>
  <c r="O1208" i="4" s="1"/>
  <c r="N103" i="3"/>
  <c r="N575" i="4" s="1"/>
  <c r="N1243" i="4"/>
  <c r="V1244" i="4"/>
  <c r="W1209" i="4"/>
  <c r="M132" i="3"/>
  <c r="O1238" i="4"/>
  <c r="W1239" i="4"/>
  <c r="AG105" i="3"/>
  <c r="AG1259" i="4"/>
  <c r="M130" i="3"/>
  <c r="O1228" i="4"/>
  <c r="W1229" i="4"/>
  <c r="AG107" i="3"/>
  <c r="AG1269" i="4"/>
  <c r="N1213" i="4"/>
  <c r="V1214" i="4"/>
  <c r="AG108" i="3"/>
  <c r="AG1279" i="4"/>
  <c r="O1249" i="4"/>
  <c r="W1250" i="4"/>
  <c r="M118" i="3"/>
  <c r="N117" i="3"/>
  <c r="N576" i="4" s="1"/>
  <c r="S599" i="4"/>
  <c r="R599" i="4"/>
  <c r="Q599" i="4"/>
  <c r="P599" i="4"/>
  <c r="M131" i="3"/>
  <c r="O1233" i="4"/>
  <c r="W1234" i="4"/>
  <c r="M106" i="3"/>
  <c r="O1264" i="4"/>
  <c r="W1265" i="4"/>
  <c r="P598" i="4"/>
  <c r="S598" i="4"/>
  <c r="R598" i="4"/>
  <c r="Q598" i="4"/>
  <c r="O1218" i="4"/>
  <c r="W1219" i="4"/>
  <c r="N125" i="3"/>
  <c r="N577" i="4" s="1"/>
  <c r="M128" i="3"/>
  <c r="M109" i="3"/>
  <c r="O1274" i="4"/>
  <c r="W1275" i="4"/>
  <c r="AG109" i="3"/>
  <c r="AG1274" i="4"/>
  <c r="AG131" i="3"/>
  <c r="AG1233" i="4"/>
  <c r="M129" i="3"/>
  <c r="O1223" i="4"/>
  <c r="W1224" i="4"/>
  <c r="AG106" i="3"/>
  <c r="AG1264" i="4"/>
  <c r="AG1243" i="4"/>
  <c r="N1269" i="4"/>
  <c r="V1270" i="4"/>
  <c r="M108" i="3"/>
  <c r="O1279" i="4"/>
  <c r="W1280" i="4"/>
  <c r="AG132" i="3"/>
  <c r="AG1238" i="4"/>
  <c r="AG130" i="3"/>
  <c r="AG1228" i="4"/>
  <c r="AG1249" i="4"/>
  <c r="AG118" i="3"/>
  <c r="M105" i="3"/>
  <c r="O1259" i="4"/>
  <c r="W1260" i="4"/>
  <c r="AG129" i="3"/>
  <c r="AG1223" i="4"/>
  <c r="Z579" i="4"/>
  <c r="Z580" i="4"/>
  <c r="AB173" i="4"/>
  <c r="AB179" i="4"/>
  <c r="AB175" i="4"/>
  <c r="AB182" i="4"/>
  <c r="AB181" i="4"/>
  <c r="AB178" i="4"/>
  <c r="Y907" i="4"/>
  <c r="AB180" i="4"/>
  <c r="AB661" i="4"/>
  <c r="AB663" i="4"/>
  <c r="AB580" i="4" s="1"/>
  <c r="AB910" i="4"/>
  <c r="AB908" i="4" s="1"/>
  <c r="AD715" i="4"/>
  <c r="AD504" i="4" s="1"/>
  <c r="AC673" i="4"/>
  <c r="AC918" i="4" s="1"/>
  <c r="AC674" i="4"/>
  <c r="AC919" i="4" s="1"/>
  <c r="AC667" i="4"/>
  <c r="AC912" i="4" s="1"/>
  <c r="AC672" i="4"/>
  <c r="AC917" i="4" s="1"/>
  <c r="AC668" i="4"/>
  <c r="AC174" i="4" s="1"/>
  <c r="AC666" i="4"/>
  <c r="AC911" i="4" s="1"/>
  <c r="AC671" i="4"/>
  <c r="AC916" i="4" s="1"/>
  <c r="AC665" i="4"/>
  <c r="AC171" i="4" s="1"/>
  <c r="AC170" i="4" s="1"/>
  <c r="AC675" i="4"/>
  <c r="AC920" i="4" s="1"/>
  <c r="AC669" i="4"/>
  <c r="AC914" i="4" s="1"/>
  <c r="AC676" i="4"/>
  <c r="AC921" i="4" s="1"/>
  <c r="AC670" i="4"/>
  <c r="AC176" i="4" s="1"/>
  <c r="AB172" i="4"/>
  <c r="AB915" i="4"/>
  <c r="AB907" i="4" s="1"/>
  <c r="AB662" i="4"/>
  <c r="AB579" i="4" s="1"/>
  <c r="AB913" i="4"/>
  <c r="AB909" i="4" s="1"/>
  <c r="AB664" i="4"/>
  <c r="AB581" i="4" s="1"/>
  <c r="AB603" i="4" s="1"/>
  <c r="Y909" i="4"/>
  <c r="AA171" i="4"/>
  <c r="AA170" i="4" s="1"/>
  <c r="AA910" i="4"/>
  <c r="AA908" i="4" s="1"/>
  <c r="AA174" i="4"/>
  <c r="AA913" i="4"/>
  <c r="AA909" i="4" s="1"/>
  <c r="AA176" i="4"/>
  <c r="AA915" i="4"/>
  <c r="AA907" i="4" s="1"/>
  <c r="Y908" i="4"/>
  <c r="AA244" i="4"/>
  <c r="Z245" i="4"/>
  <c r="Z170" i="4"/>
  <c r="AC168" i="4"/>
  <c r="Y174" i="4"/>
  <c r="Y178" i="4"/>
  <c r="Y177" i="4"/>
  <c r="Y175" i="4"/>
  <c r="Y179" i="4"/>
  <c r="Y172" i="4"/>
  <c r="Q180" i="4"/>
  <c r="AA172" i="4"/>
  <c r="AA180" i="4"/>
  <c r="Y171" i="4"/>
  <c r="AA179" i="4"/>
  <c r="AA175" i="4"/>
  <c r="AA173" i="4"/>
  <c r="Q174" i="4"/>
  <c r="Q176" i="4"/>
  <c r="Y176" i="4"/>
  <c r="Y181" i="4"/>
  <c r="Q173" i="4"/>
  <c r="Y173" i="4"/>
  <c r="Q172" i="4"/>
  <c r="AA664" i="4"/>
  <c r="AA581" i="4" s="1"/>
  <c r="AA603" i="4" s="1"/>
  <c r="AA663" i="4"/>
  <c r="AA580" i="4" s="1"/>
  <c r="AA662" i="4"/>
  <c r="AA579" i="4" s="1"/>
  <c r="Y663" i="4"/>
  <c r="Y580" i="4" s="1"/>
  <c r="Q675" i="4"/>
  <c r="Q920" i="4" s="1"/>
  <c r="AA661" i="4"/>
  <c r="Q693" i="4"/>
  <c r="Q676" i="4" s="1"/>
  <c r="Q921" i="4" s="1"/>
  <c r="Q452" i="4"/>
  <c r="Y662" i="4"/>
  <c r="Y579" i="4" s="1"/>
  <c r="Q460" i="4"/>
  <c r="Y664" i="4"/>
  <c r="Y581" i="4" s="1"/>
  <c r="Q454" i="4"/>
  <c r="Y661" i="4"/>
  <c r="Q682" i="4"/>
  <c r="Q665" i="4" s="1"/>
  <c r="Q910" i="4" s="1"/>
  <c r="I452" i="4"/>
  <c r="Q689" i="4"/>
  <c r="Q672" i="4" s="1"/>
  <c r="Q917" i="4" s="1"/>
  <c r="Q690" i="4"/>
  <c r="Q673" i="4" s="1"/>
  <c r="Q918" i="4" s="1"/>
  <c r="R445" i="4"/>
  <c r="R458" i="4" s="1"/>
  <c r="R453" i="4"/>
  <c r="R684" i="4"/>
  <c r="R667" i="4" s="1"/>
  <c r="R912" i="4" s="1"/>
  <c r="Q455" i="4"/>
  <c r="Q686" i="4"/>
  <c r="Q669" i="4" s="1"/>
  <c r="Q914" i="4" s="1"/>
  <c r="I453" i="4"/>
  <c r="I684" i="4"/>
  <c r="I454" i="4"/>
  <c r="I685" i="4"/>
  <c r="Q457" i="4"/>
  <c r="Q688" i="4"/>
  <c r="Q671" i="4" s="1"/>
  <c r="Q916" i="4" s="1"/>
  <c r="R447" i="4"/>
  <c r="I451" i="4"/>
  <c r="I682" i="4"/>
  <c r="R442" i="4"/>
  <c r="R699" i="4"/>
  <c r="R446" i="4"/>
  <c r="R449" i="4"/>
  <c r="R706" i="4"/>
  <c r="R439" i="4"/>
  <c r="R696" i="4"/>
  <c r="R438" i="4"/>
  <c r="R695" i="4"/>
  <c r="S432" i="4"/>
  <c r="S703" i="4" s="1"/>
  <c r="S404" i="4"/>
  <c r="S433" i="4"/>
  <c r="S435" i="4"/>
  <c r="S706" i="4" s="1"/>
  <c r="S425" i="4"/>
  <c r="S696" i="4" s="1"/>
  <c r="S426" i="4"/>
  <c r="S697" i="4" s="1"/>
  <c r="S427" i="4"/>
  <c r="S434" i="4"/>
  <c r="S431" i="4"/>
  <c r="S702" i="4" s="1"/>
  <c r="S428" i="4"/>
  <c r="S424" i="4"/>
  <c r="S695" i="4" s="1"/>
  <c r="U422" i="4"/>
  <c r="S429" i="4"/>
  <c r="S700" i="4" s="1"/>
  <c r="S402" i="4"/>
  <c r="W151" i="4"/>
  <c r="W148" i="4" s="1"/>
  <c r="AH400" i="4"/>
  <c r="AG409" i="4"/>
  <c r="AF148" i="4"/>
  <c r="AG151" i="4"/>
  <c r="T437" i="4"/>
  <c r="T681" i="4" s="1"/>
  <c r="R444" i="4"/>
  <c r="AG438" i="4"/>
  <c r="AG682" i="4" s="1"/>
  <c r="AG440" i="4"/>
  <c r="AG684" i="4" s="1"/>
  <c r="AG442" i="4"/>
  <c r="AG686" i="4" s="1"/>
  <c r="AG444" i="4"/>
  <c r="AG688" i="4" s="1"/>
  <c r="AG446" i="4"/>
  <c r="AG690" i="4" s="1"/>
  <c r="AG448" i="4"/>
  <c r="AG692" i="4" s="1"/>
  <c r="AG439" i="4"/>
  <c r="AG683" i="4" s="1"/>
  <c r="AG443" i="4"/>
  <c r="AG687" i="4" s="1"/>
  <c r="AG447" i="4"/>
  <c r="AG691" i="4" s="1"/>
  <c r="AG441" i="4"/>
  <c r="AG685" i="4" s="1"/>
  <c r="AG449" i="4"/>
  <c r="AG693" i="4" s="1"/>
  <c r="AG437" i="4"/>
  <c r="AG681" i="4" s="1"/>
  <c r="AG445" i="4"/>
  <c r="AG689" i="4" s="1"/>
  <c r="S450" i="4"/>
  <c r="R441" i="4"/>
  <c r="R448" i="4"/>
  <c r="S444" i="4"/>
  <c r="R443" i="4"/>
  <c r="T436" i="4"/>
  <c r="T435" i="4" s="1"/>
  <c r="T706" i="4" s="1"/>
  <c r="I442" i="4"/>
  <c r="I443" i="4"/>
  <c r="AE340" i="4"/>
  <c r="AG193" i="3"/>
  <c r="AF187" i="3"/>
  <c r="AF188" i="3"/>
  <c r="AF341" i="4" s="1"/>
  <c r="AF186" i="3"/>
  <c r="AF342" i="4" s="1"/>
  <c r="K196" i="3"/>
  <c r="L189" i="3"/>
  <c r="W146" i="4"/>
  <c r="V143" i="4"/>
  <c r="AH104" i="3"/>
  <c r="AI190" i="3"/>
  <c r="X163" i="4"/>
  <c r="X160" i="4" s="1"/>
  <c r="W160" i="4"/>
  <c r="AH111" i="3"/>
  <c r="AG110" i="3"/>
  <c r="T165" i="4"/>
  <c r="T168" i="4" s="1"/>
  <c r="M208" i="3"/>
  <c r="L210" i="3"/>
  <c r="M209" i="3"/>
  <c r="I121" i="3"/>
  <c r="I120" i="3" s="1"/>
  <c r="J120" i="3"/>
  <c r="AH163" i="4"/>
  <c r="AG160" i="4"/>
  <c r="AH126" i="3"/>
  <c r="AI1213" i="4" s="1"/>
  <c r="AG146" i="4"/>
  <c r="AF143" i="4"/>
  <c r="AF141" i="4"/>
  <c r="AE138" i="4"/>
  <c r="L107" i="3"/>
  <c r="AD1344" i="4"/>
  <c r="AC1312" i="4"/>
  <c r="AC1324" i="4"/>
  <c r="AC1318" i="4"/>
  <c r="AG208" i="3"/>
  <c r="AH210" i="3"/>
  <c r="AG209" i="3"/>
  <c r="J203" i="3"/>
  <c r="K202" i="3"/>
  <c r="AH121" i="3"/>
  <c r="AD122" i="3"/>
  <c r="AC120" i="3"/>
  <c r="V141" i="4"/>
  <c r="U138" i="4"/>
  <c r="AH223" i="3"/>
  <c r="AG222" i="3"/>
  <c r="AJ196" i="3"/>
  <c r="AI189" i="3"/>
  <c r="AI203" i="3"/>
  <c r="AH202" i="3"/>
  <c r="L126" i="3"/>
  <c r="N340" i="4"/>
  <c r="AD165" i="4"/>
  <c r="AD119" i="3"/>
  <c r="AC117" i="3"/>
  <c r="AC576" i="4" s="1"/>
  <c r="AC598" i="4" s="1"/>
  <c r="L104" i="3"/>
  <c r="L111" i="3"/>
  <c r="M110" i="3"/>
  <c r="M578" i="4"/>
  <c r="L133" i="3"/>
  <c r="AF578" i="4"/>
  <c r="AF600" i="4" s="1"/>
  <c r="AG133" i="3"/>
  <c r="M188" i="3"/>
  <c r="M341" i="4" s="1"/>
  <c r="M187" i="3"/>
  <c r="M186" i="3"/>
  <c r="M342" i="4" s="1"/>
  <c r="L190" i="3"/>
  <c r="L223" i="3"/>
  <c r="M222" i="3"/>
  <c r="S597" i="4" l="1"/>
  <c r="R597" i="4"/>
  <c r="Q597" i="4"/>
  <c r="AF708" i="4"/>
  <c r="AE519" i="4"/>
  <c r="AE518" i="4" s="1"/>
  <c r="AF575" i="4"/>
  <c r="AF597" i="4" s="1"/>
  <c r="AG1254" i="4"/>
  <c r="W1255" i="4"/>
  <c r="N503" i="4"/>
  <c r="O1254" i="4"/>
  <c r="M103" i="3"/>
  <c r="M575" i="4" s="1"/>
  <c r="AG103" i="3"/>
  <c r="AG503" i="4" s="1"/>
  <c r="M124" i="3"/>
  <c r="N1208" i="4" s="1"/>
  <c r="AF519" i="4"/>
  <c r="AF518" i="4" s="1"/>
  <c r="AH132" i="3"/>
  <c r="AH1238" i="4"/>
  <c r="AH131" i="3"/>
  <c r="AH1233" i="4"/>
  <c r="L106" i="3"/>
  <c r="N1264" i="4"/>
  <c r="V1265" i="4"/>
  <c r="L130" i="3"/>
  <c r="N1228" i="4"/>
  <c r="V1229" i="4"/>
  <c r="M1269" i="4"/>
  <c r="U1270" i="4"/>
  <c r="L109" i="3"/>
  <c r="N1274" i="4"/>
  <c r="V1275" i="4"/>
  <c r="N1249" i="4"/>
  <c r="V1250" i="4"/>
  <c r="L118" i="3"/>
  <c r="M117" i="3"/>
  <c r="M576" i="4" s="1"/>
  <c r="AH108" i="3"/>
  <c r="AH1279" i="4"/>
  <c r="AH107" i="3"/>
  <c r="AH1269" i="4"/>
  <c r="L132" i="3"/>
  <c r="N1238" i="4"/>
  <c r="V1239" i="4"/>
  <c r="AH1243" i="4"/>
  <c r="M1243" i="4"/>
  <c r="U1244" i="4"/>
  <c r="M1213" i="4"/>
  <c r="U1214" i="4"/>
  <c r="L105" i="3"/>
  <c r="N1259" i="4"/>
  <c r="V1260" i="4"/>
  <c r="AH130" i="3"/>
  <c r="AH1228" i="4"/>
  <c r="L129" i="3"/>
  <c r="N1223" i="4"/>
  <c r="V1224" i="4"/>
  <c r="AH109" i="3"/>
  <c r="AH1274" i="4"/>
  <c r="N1218" i="4"/>
  <c r="V1219" i="4"/>
  <c r="L128" i="3"/>
  <c r="M125" i="3"/>
  <c r="M577" i="4" s="1"/>
  <c r="AH105" i="3"/>
  <c r="AH1259" i="4"/>
  <c r="AH129" i="3"/>
  <c r="AH1223" i="4"/>
  <c r="AH1249" i="4"/>
  <c r="AH118" i="3"/>
  <c r="L108" i="3"/>
  <c r="N1279" i="4"/>
  <c r="V1280" i="4"/>
  <c r="AH106" i="3"/>
  <c r="AH1264" i="4"/>
  <c r="L131" i="3"/>
  <c r="N1233" i="4"/>
  <c r="V1234" i="4"/>
  <c r="AB602" i="4"/>
  <c r="AB601" i="4"/>
  <c r="AA601" i="4"/>
  <c r="AC180" i="4"/>
  <c r="AA602" i="4"/>
  <c r="AC179" i="4"/>
  <c r="AC178" i="4"/>
  <c r="AC181" i="4"/>
  <c r="AC182" i="4"/>
  <c r="AC172" i="4"/>
  <c r="AC913" i="4"/>
  <c r="AC909" i="4" s="1"/>
  <c r="AC664" i="4"/>
  <c r="AC581" i="4" s="1"/>
  <c r="AC603" i="4" s="1"/>
  <c r="AE715" i="4"/>
  <c r="AE504" i="4" s="1"/>
  <c r="AD672" i="4"/>
  <c r="AD917" i="4" s="1"/>
  <c r="AD675" i="4"/>
  <c r="AD920" i="4" s="1"/>
  <c r="AD665" i="4"/>
  <c r="AD171" i="4" s="1"/>
  <c r="AD170" i="4" s="1"/>
  <c r="AD674" i="4"/>
  <c r="AD919" i="4" s="1"/>
  <c r="AD669" i="4"/>
  <c r="AD914" i="4" s="1"/>
  <c r="AD666" i="4"/>
  <c r="AD911" i="4" s="1"/>
  <c r="AD667" i="4"/>
  <c r="AD912" i="4" s="1"/>
  <c r="AD676" i="4"/>
  <c r="AD921" i="4" s="1"/>
  <c r="AD670" i="4"/>
  <c r="AD673" i="4"/>
  <c r="AD918" i="4" s="1"/>
  <c r="AD668" i="4"/>
  <c r="AD174" i="4" s="1"/>
  <c r="AD671" i="4"/>
  <c r="AD916" i="4" s="1"/>
  <c r="Q907" i="4"/>
  <c r="AC177" i="4"/>
  <c r="AC175" i="4"/>
  <c r="AC173" i="4"/>
  <c r="AC662" i="4"/>
  <c r="AC579" i="4" s="1"/>
  <c r="AC601" i="4" s="1"/>
  <c r="AC915" i="4"/>
  <c r="AC907" i="4" s="1"/>
  <c r="AC663" i="4"/>
  <c r="AC580" i="4" s="1"/>
  <c r="AC602" i="4" s="1"/>
  <c r="AC661" i="4"/>
  <c r="AC910" i="4"/>
  <c r="AC908" i="4" s="1"/>
  <c r="Q909" i="4"/>
  <c r="Q908" i="4"/>
  <c r="AB244" i="4"/>
  <c r="AA245" i="4"/>
  <c r="Y170" i="4"/>
  <c r="Q177" i="4"/>
  <c r="Q181" i="4"/>
  <c r="Q175" i="4"/>
  <c r="Q171" i="4"/>
  <c r="Q182" i="4"/>
  <c r="AD168" i="4"/>
  <c r="Q179" i="4"/>
  <c r="R173" i="4"/>
  <c r="Q178" i="4"/>
  <c r="Q664" i="4"/>
  <c r="Q581" i="4" s="1"/>
  <c r="Q603" i="4" s="1"/>
  <c r="Q662" i="4"/>
  <c r="Q579" i="4" s="1"/>
  <c r="Q601" i="4" s="1"/>
  <c r="Q663" i="4"/>
  <c r="Q580" i="4" s="1"/>
  <c r="Q602" i="4" s="1"/>
  <c r="R689" i="4"/>
  <c r="R672" i="4" s="1"/>
  <c r="R917" i="4" s="1"/>
  <c r="S445" i="4"/>
  <c r="S689" i="4" s="1"/>
  <c r="S672" i="4" s="1"/>
  <c r="S917" i="4" s="1"/>
  <c r="S439" i="4"/>
  <c r="S683" i="4" s="1"/>
  <c r="S666" i="4" s="1"/>
  <c r="S911" i="4" s="1"/>
  <c r="I456" i="4"/>
  <c r="I687" i="4"/>
  <c r="R455" i="4"/>
  <c r="R686" i="4"/>
  <c r="R669" i="4" s="1"/>
  <c r="R914" i="4" s="1"/>
  <c r="I455" i="4"/>
  <c r="I686" i="4"/>
  <c r="S457" i="4"/>
  <c r="S688" i="4"/>
  <c r="S671" i="4" s="1"/>
  <c r="S916" i="4" s="1"/>
  <c r="R451" i="4"/>
  <c r="R682" i="4"/>
  <c r="R665" i="4" s="1"/>
  <c r="R910" i="4" s="1"/>
  <c r="R462" i="4"/>
  <c r="R693" i="4"/>
  <c r="R676" i="4" s="1"/>
  <c r="R921" i="4" s="1"/>
  <c r="R461" i="4"/>
  <c r="R692" i="4"/>
  <c r="R675" i="4" s="1"/>
  <c r="R920" i="4" s="1"/>
  <c r="R459" i="4"/>
  <c r="R690" i="4"/>
  <c r="R673" i="4" s="1"/>
  <c r="R918" i="4" s="1"/>
  <c r="R456" i="4"/>
  <c r="R687" i="4"/>
  <c r="R670" i="4" s="1"/>
  <c r="R915" i="4" s="1"/>
  <c r="R454" i="4"/>
  <c r="R685" i="4"/>
  <c r="R668" i="4" s="1"/>
  <c r="R913" i="4" s="1"/>
  <c r="R457" i="4"/>
  <c r="R688" i="4"/>
  <c r="R671" i="4" s="1"/>
  <c r="R916" i="4" s="1"/>
  <c r="R452" i="4"/>
  <c r="R683" i="4"/>
  <c r="R666" i="4" s="1"/>
  <c r="R911" i="4" s="1"/>
  <c r="R460" i="4"/>
  <c r="R691" i="4"/>
  <c r="R674" i="4" s="1"/>
  <c r="R919" i="4" s="1"/>
  <c r="S447" i="4"/>
  <c r="S704" i="4"/>
  <c r="S441" i="4"/>
  <c r="S698" i="4"/>
  <c r="S442" i="4"/>
  <c r="S699" i="4"/>
  <c r="S443" i="4"/>
  <c r="S448" i="4"/>
  <c r="S705" i="4"/>
  <c r="T404" i="4"/>
  <c r="T425" i="4"/>
  <c r="T426" i="4"/>
  <c r="T431" i="4"/>
  <c r="T427" i="4"/>
  <c r="T698" i="4" s="1"/>
  <c r="T432" i="4"/>
  <c r="T433" i="4"/>
  <c r="T434" i="4"/>
  <c r="U437" i="4"/>
  <c r="T428" i="4"/>
  <c r="T699" i="4" s="1"/>
  <c r="U436" i="4"/>
  <c r="U434" i="4" s="1"/>
  <c r="T424" i="4"/>
  <c r="T430" i="4"/>
  <c r="T429" i="4"/>
  <c r="AH448" i="4"/>
  <c r="AH692" i="4" s="1"/>
  <c r="AH438" i="4"/>
  <c r="AH682" i="4" s="1"/>
  <c r="AH445" i="4"/>
  <c r="AH689" i="4" s="1"/>
  <c r="AI400" i="4"/>
  <c r="AI449" i="4" s="1"/>
  <c r="AI693" i="4" s="1"/>
  <c r="AH440" i="4"/>
  <c r="AH684" i="4" s="1"/>
  <c r="AH443" i="4"/>
  <c r="AH687" i="4" s="1"/>
  <c r="AH444" i="4"/>
  <c r="AH688" i="4" s="1"/>
  <c r="AH446" i="4"/>
  <c r="AH690" i="4" s="1"/>
  <c r="AH441" i="4"/>
  <c r="AH685" i="4" s="1"/>
  <c r="AH409" i="4"/>
  <c r="AH442" i="4"/>
  <c r="AH686" i="4" s="1"/>
  <c r="AH449" i="4"/>
  <c r="AH693" i="4" s="1"/>
  <c r="AH437" i="4"/>
  <c r="AH681" i="4" s="1"/>
  <c r="AH447" i="4"/>
  <c r="AH691" i="4" s="1"/>
  <c r="AH439" i="4"/>
  <c r="AH683" i="4" s="1"/>
  <c r="T402" i="4"/>
  <c r="X151" i="4"/>
  <c r="X148" i="4" s="1"/>
  <c r="AG148" i="4"/>
  <c r="AH151" i="4"/>
  <c r="T449" i="4"/>
  <c r="T450" i="4"/>
  <c r="S449" i="4"/>
  <c r="T441" i="4"/>
  <c r="S446" i="4"/>
  <c r="S438" i="4"/>
  <c r="S440" i="4"/>
  <c r="I444" i="4"/>
  <c r="AH193" i="3"/>
  <c r="AG186" i="3"/>
  <c r="AG342" i="4" s="1"/>
  <c r="AG188" i="3"/>
  <c r="AG341" i="4" s="1"/>
  <c r="AG187" i="3"/>
  <c r="AF340" i="4"/>
  <c r="AJ189" i="3"/>
  <c r="AK196" i="3"/>
  <c r="AK189" i="3" s="1"/>
  <c r="L578" i="4"/>
  <c r="K133" i="3"/>
  <c r="K104" i="3"/>
  <c r="AE122" i="3"/>
  <c r="AD120" i="3"/>
  <c r="AE1344" i="4"/>
  <c r="AD1324" i="4"/>
  <c r="AD1318" i="4"/>
  <c r="AD1312" i="4"/>
  <c r="AI104" i="3"/>
  <c r="K111" i="3"/>
  <c r="L110" i="3"/>
  <c r="AE165" i="4"/>
  <c r="X146" i="4"/>
  <c r="X143" i="4" s="1"/>
  <c r="W143" i="4"/>
  <c r="M340" i="4"/>
  <c r="AG578" i="4"/>
  <c r="AG600" i="4" s="1"/>
  <c r="AH133" i="3"/>
  <c r="AI202" i="3"/>
  <c r="AJ203" i="3"/>
  <c r="AI223" i="3"/>
  <c r="AH222" i="3"/>
  <c r="U165" i="4"/>
  <c r="U168" i="4" s="1"/>
  <c r="W141" i="4"/>
  <c r="V138" i="4"/>
  <c r="AI121" i="3"/>
  <c r="AI210" i="3"/>
  <c r="AH209" i="3"/>
  <c r="AH208" i="3"/>
  <c r="AG141" i="4"/>
  <c r="AF138" i="4"/>
  <c r="I203" i="3"/>
  <c r="I202" i="3" s="1"/>
  <c r="J202" i="3"/>
  <c r="AI126" i="3"/>
  <c r="AJ1213" i="4" s="1"/>
  <c r="K210" i="3"/>
  <c r="L209" i="3"/>
  <c r="L208" i="3"/>
  <c r="AJ190" i="3"/>
  <c r="J196" i="3"/>
  <c r="K189" i="3"/>
  <c r="K223" i="3"/>
  <c r="L222" i="3"/>
  <c r="K190" i="3"/>
  <c r="L188" i="3"/>
  <c r="L341" i="4" s="1"/>
  <c r="L187" i="3"/>
  <c r="L186" i="3"/>
  <c r="L342" i="4" s="1"/>
  <c r="AE119" i="3"/>
  <c r="AD117" i="3"/>
  <c r="AD576" i="4" s="1"/>
  <c r="AD598" i="4" s="1"/>
  <c r="K126" i="3"/>
  <c r="K107" i="3"/>
  <c r="AH146" i="4"/>
  <c r="AG143" i="4"/>
  <c r="AI163" i="4"/>
  <c r="AH160" i="4"/>
  <c r="AI111" i="3"/>
  <c r="AH110" i="3"/>
  <c r="S458" i="4" l="1"/>
  <c r="V1209" i="4"/>
  <c r="V1255" i="4"/>
  <c r="M503" i="4"/>
  <c r="N1254" i="4"/>
  <c r="AG575" i="4"/>
  <c r="AG597" i="4" s="1"/>
  <c r="L103" i="3"/>
  <c r="U1255" i="4" s="1"/>
  <c r="AG519" i="4"/>
  <c r="AG518" i="4" s="1"/>
  <c r="AG511" i="4"/>
  <c r="AH1254" i="4"/>
  <c r="AG708" i="4"/>
  <c r="AH103" i="3"/>
  <c r="AI1254" i="4" s="1"/>
  <c r="L124" i="3"/>
  <c r="M1208" i="4" s="1"/>
  <c r="L1213" i="4"/>
  <c r="T1214" i="4"/>
  <c r="L1243" i="4"/>
  <c r="T1244" i="4"/>
  <c r="K131" i="3"/>
  <c r="M1233" i="4"/>
  <c r="U1234" i="4"/>
  <c r="K129" i="3"/>
  <c r="M1223" i="4"/>
  <c r="U1224" i="4"/>
  <c r="K132" i="3"/>
  <c r="M1238" i="4"/>
  <c r="U1239" i="4"/>
  <c r="AI108" i="3"/>
  <c r="AI1279" i="4"/>
  <c r="K130" i="3"/>
  <c r="M1228" i="4"/>
  <c r="U1229" i="4"/>
  <c r="K108" i="3"/>
  <c r="M1279" i="4"/>
  <c r="U1280" i="4"/>
  <c r="AI129" i="3"/>
  <c r="AI1223" i="4"/>
  <c r="M1218" i="4"/>
  <c r="U1219" i="4"/>
  <c r="K128" i="3"/>
  <c r="L125" i="3"/>
  <c r="L577" i="4" s="1"/>
  <c r="AI109" i="3"/>
  <c r="AI1274" i="4"/>
  <c r="K105" i="3"/>
  <c r="M1259" i="4"/>
  <c r="U1260" i="4"/>
  <c r="AI131" i="3"/>
  <c r="AI1233" i="4"/>
  <c r="AI106" i="3"/>
  <c r="AI1264" i="4"/>
  <c r="AI1249" i="4"/>
  <c r="AI118" i="3"/>
  <c r="AI130" i="3"/>
  <c r="AI1228" i="4"/>
  <c r="AI107" i="3"/>
  <c r="AI1269" i="4"/>
  <c r="M1249" i="4"/>
  <c r="U1250" i="4"/>
  <c r="K118" i="3"/>
  <c r="L117" i="3"/>
  <c r="L576" i="4" s="1"/>
  <c r="L1269" i="4"/>
  <c r="T1270" i="4"/>
  <c r="AI1243" i="4"/>
  <c r="AI105" i="3"/>
  <c r="AI1259" i="4"/>
  <c r="K109" i="3"/>
  <c r="M1274" i="4"/>
  <c r="U1275" i="4"/>
  <c r="K106" i="3"/>
  <c r="M1264" i="4"/>
  <c r="U1265" i="4"/>
  <c r="AI132" i="3"/>
  <c r="AI1238" i="4"/>
  <c r="AD172" i="4"/>
  <c r="AD179" i="4"/>
  <c r="AD181" i="4"/>
  <c r="AD180" i="4"/>
  <c r="AD182" i="4"/>
  <c r="AD173" i="4"/>
  <c r="AD177" i="4"/>
  <c r="AD662" i="4"/>
  <c r="AD579" i="4" s="1"/>
  <c r="AD601" i="4" s="1"/>
  <c r="AD915" i="4"/>
  <c r="AD907" i="4" s="1"/>
  <c r="AD175" i="4"/>
  <c r="AD178" i="4"/>
  <c r="AD176" i="4"/>
  <c r="AD913" i="4"/>
  <c r="AD909" i="4" s="1"/>
  <c r="AD664" i="4"/>
  <c r="AD581" i="4" s="1"/>
  <c r="AD603" i="4" s="1"/>
  <c r="AD663" i="4"/>
  <c r="AD580" i="4" s="1"/>
  <c r="AD602" i="4" s="1"/>
  <c r="AD661" i="4"/>
  <c r="AD910" i="4"/>
  <c r="AD908" i="4" s="1"/>
  <c r="AF715" i="4"/>
  <c r="AF504" i="4" s="1"/>
  <c r="AE673" i="4"/>
  <c r="AE918" i="4" s="1"/>
  <c r="AE667" i="4"/>
  <c r="AE912" i="4" s="1"/>
  <c r="AE675" i="4"/>
  <c r="AE920" i="4" s="1"/>
  <c r="AE668" i="4"/>
  <c r="AE174" i="4" s="1"/>
  <c r="AE670" i="4"/>
  <c r="AE176" i="4" s="1"/>
  <c r="AE671" i="4"/>
  <c r="AE916" i="4" s="1"/>
  <c r="AE672" i="4"/>
  <c r="AE917" i="4" s="1"/>
  <c r="AE665" i="4"/>
  <c r="AE171" i="4" s="1"/>
  <c r="AE170" i="4" s="1"/>
  <c r="AE669" i="4"/>
  <c r="AE914" i="4" s="1"/>
  <c r="AE674" i="4"/>
  <c r="AE919" i="4" s="1"/>
  <c r="AE676" i="4"/>
  <c r="AE921" i="4" s="1"/>
  <c r="AE666" i="4"/>
  <c r="AE911" i="4" s="1"/>
  <c r="R909" i="4"/>
  <c r="R907" i="4"/>
  <c r="R908" i="4"/>
  <c r="AC244" i="4"/>
  <c r="AB245" i="4"/>
  <c r="Q170" i="4"/>
  <c r="R172" i="4"/>
  <c r="R174" i="4"/>
  <c r="R179" i="4"/>
  <c r="R182" i="4"/>
  <c r="S177" i="4"/>
  <c r="R175" i="4"/>
  <c r="S172" i="4"/>
  <c r="AE168" i="4"/>
  <c r="AE181" i="4"/>
  <c r="R180" i="4"/>
  <c r="R177" i="4"/>
  <c r="R176" i="4"/>
  <c r="R181" i="4"/>
  <c r="R171" i="4"/>
  <c r="S178" i="4"/>
  <c r="R178" i="4"/>
  <c r="R663" i="4"/>
  <c r="R580" i="4" s="1"/>
  <c r="R602" i="4" s="1"/>
  <c r="Q661" i="4"/>
  <c r="S452" i="4"/>
  <c r="R664" i="4"/>
  <c r="R581" i="4" s="1"/>
  <c r="R603" i="4" s="1"/>
  <c r="R662" i="4"/>
  <c r="R579" i="4" s="1"/>
  <c r="R601" i="4" s="1"/>
  <c r="R661" i="4"/>
  <c r="I457" i="4"/>
  <c r="I688" i="4"/>
  <c r="T454" i="4"/>
  <c r="T685" i="4"/>
  <c r="T668" i="4" s="1"/>
  <c r="T913" i="4" s="1"/>
  <c r="U402" i="4"/>
  <c r="U681" i="4"/>
  <c r="S453" i="4"/>
  <c r="S684" i="4"/>
  <c r="S667" i="4" s="1"/>
  <c r="S912" i="4" s="1"/>
  <c r="S462" i="4"/>
  <c r="S693" i="4"/>
  <c r="S676" i="4" s="1"/>
  <c r="S921" i="4" s="1"/>
  <c r="S455" i="4"/>
  <c r="S686" i="4"/>
  <c r="S669" i="4" s="1"/>
  <c r="S914" i="4" s="1"/>
  <c r="S460" i="4"/>
  <c r="S691" i="4"/>
  <c r="S674" i="4" s="1"/>
  <c r="S919" i="4" s="1"/>
  <c r="S451" i="4"/>
  <c r="S682" i="4"/>
  <c r="S665" i="4" s="1"/>
  <c r="S461" i="4"/>
  <c r="S692" i="4"/>
  <c r="S675" i="4" s="1"/>
  <c r="S920" i="4" s="1"/>
  <c r="S459" i="4"/>
  <c r="S690" i="4"/>
  <c r="S673" i="4" s="1"/>
  <c r="S918" i="4" s="1"/>
  <c r="T462" i="4"/>
  <c r="T693" i="4"/>
  <c r="T676" i="4" s="1"/>
  <c r="T921" i="4" s="1"/>
  <c r="S456" i="4"/>
  <c r="S687" i="4"/>
  <c r="S670" i="4" s="1"/>
  <c r="S915" i="4" s="1"/>
  <c r="S454" i="4"/>
  <c r="S685" i="4"/>
  <c r="S668" i="4" s="1"/>
  <c r="S913" i="4" s="1"/>
  <c r="T440" i="4"/>
  <c r="T697" i="4"/>
  <c r="T443" i="4"/>
  <c r="T687" i="4" s="1"/>
  <c r="T700" i="4"/>
  <c r="T446" i="4"/>
  <c r="T703" i="4"/>
  <c r="T439" i="4"/>
  <c r="T696" i="4"/>
  <c r="U448" i="4"/>
  <c r="U705" i="4"/>
  <c r="T447" i="4"/>
  <c r="T704" i="4"/>
  <c r="T444" i="4"/>
  <c r="T701" i="4"/>
  <c r="T438" i="4"/>
  <c r="T695" i="4"/>
  <c r="T448" i="4"/>
  <c r="T705" i="4"/>
  <c r="T445" i="4"/>
  <c r="T702" i="4"/>
  <c r="AI441" i="4"/>
  <c r="AI685" i="4" s="1"/>
  <c r="U450" i="4"/>
  <c r="AI444" i="4"/>
  <c r="AI688" i="4" s="1"/>
  <c r="U429" i="4"/>
  <c r="U700" i="4" s="1"/>
  <c r="U426" i="4"/>
  <c r="AI438" i="4"/>
  <c r="AI682" i="4" s="1"/>
  <c r="U404" i="4"/>
  <c r="U430" i="4"/>
  <c r="U425" i="4"/>
  <c r="U427" i="4"/>
  <c r="U433" i="4"/>
  <c r="U428" i="4"/>
  <c r="U699" i="4" s="1"/>
  <c r="U432" i="4"/>
  <c r="U431" i="4"/>
  <c r="U702" i="4" s="1"/>
  <c r="U435" i="4"/>
  <c r="U424" i="4"/>
  <c r="AI447" i="4"/>
  <c r="AI691" i="4" s="1"/>
  <c r="AI439" i="4"/>
  <c r="AI683" i="4" s="1"/>
  <c r="AJ400" i="4"/>
  <c r="AK400" i="4" s="1"/>
  <c r="AI448" i="4"/>
  <c r="AI692" i="4" s="1"/>
  <c r="AI446" i="4"/>
  <c r="AI690" i="4" s="1"/>
  <c r="AI445" i="4"/>
  <c r="AI689" i="4" s="1"/>
  <c r="AI437" i="4"/>
  <c r="AI681" i="4" s="1"/>
  <c r="AI409" i="4"/>
  <c r="AI440" i="4"/>
  <c r="AI684" i="4" s="1"/>
  <c r="AI442" i="4"/>
  <c r="AI686" i="4" s="1"/>
  <c r="AI443" i="4"/>
  <c r="AI687" i="4" s="1"/>
  <c r="AH148" i="4"/>
  <c r="AI151" i="4"/>
  <c r="T442" i="4"/>
  <c r="I445" i="4"/>
  <c r="L340" i="4"/>
  <c r="AI193" i="3"/>
  <c r="AH186" i="3"/>
  <c r="AH342" i="4" s="1"/>
  <c r="AH188" i="3"/>
  <c r="AH341" i="4" s="1"/>
  <c r="AH187" i="3"/>
  <c r="AG340" i="4"/>
  <c r="J126" i="3"/>
  <c r="K186" i="3"/>
  <c r="K342" i="4" s="1"/>
  <c r="J190" i="3"/>
  <c r="K188" i="3"/>
  <c r="K341" i="4" s="1"/>
  <c r="K187" i="3"/>
  <c r="AJ210" i="3"/>
  <c r="AI209" i="3"/>
  <c r="AI208" i="3"/>
  <c r="AK203" i="3"/>
  <c r="AK202" i="3" s="1"/>
  <c r="AJ202" i="3"/>
  <c r="AE1324" i="4"/>
  <c r="AE1318" i="4"/>
  <c r="AE1312" i="4"/>
  <c r="AF1344" i="4"/>
  <c r="AK190" i="3"/>
  <c r="AF165" i="4"/>
  <c r="AJ121" i="3"/>
  <c r="X141" i="4"/>
  <c r="W138" i="4"/>
  <c r="AJ163" i="4"/>
  <c r="AI160" i="4"/>
  <c r="J223" i="3"/>
  <c r="K222" i="3"/>
  <c r="J210" i="3"/>
  <c r="K209" i="3"/>
  <c r="K208" i="3"/>
  <c r="AJ111" i="3"/>
  <c r="AI110" i="3"/>
  <c r="AI146" i="4"/>
  <c r="AH143" i="4"/>
  <c r="AF119" i="3"/>
  <c r="AE117" i="3"/>
  <c r="AE576" i="4" s="1"/>
  <c r="AE598" i="4" s="1"/>
  <c r="I196" i="3"/>
  <c r="I189" i="3" s="1"/>
  <c r="J189" i="3"/>
  <c r="AJ126" i="3"/>
  <c r="AK1213" i="4" s="1"/>
  <c r="AH141" i="4"/>
  <c r="AG138" i="4"/>
  <c r="V165" i="4"/>
  <c r="AF122" i="3"/>
  <c r="AE120" i="3"/>
  <c r="J104" i="3"/>
  <c r="J107" i="3"/>
  <c r="AI222" i="3"/>
  <c r="AJ223" i="3"/>
  <c r="AH578" i="4"/>
  <c r="AH600" i="4" s="1"/>
  <c r="AI133" i="3"/>
  <c r="J111" i="3"/>
  <c r="K110" i="3"/>
  <c r="AJ104" i="3"/>
  <c r="K578" i="4"/>
  <c r="J133" i="3"/>
  <c r="L503" i="4" l="1"/>
  <c r="M1254" i="4"/>
  <c r="L575" i="4"/>
  <c r="AH503" i="4"/>
  <c r="AH519" i="4" s="1"/>
  <c r="AH518" i="4" s="1"/>
  <c r="AH708" i="4"/>
  <c r="AH575" i="4"/>
  <c r="AH597" i="4" s="1"/>
  <c r="U1209" i="4"/>
  <c r="K103" i="3"/>
  <c r="K503" i="4" s="1"/>
  <c r="AI103" i="3"/>
  <c r="AI575" i="4" s="1"/>
  <c r="AI597" i="4" s="1"/>
  <c r="K124" i="3"/>
  <c r="T1209" i="4" s="1"/>
  <c r="AJ109" i="3"/>
  <c r="AJ1274" i="4"/>
  <c r="J130" i="3"/>
  <c r="L1228" i="4"/>
  <c r="T1229" i="4"/>
  <c r="J129" i="3"/>
  <c r="L1223" i="4"/>
  <c r="T1224" i="4"/>
  <c r="AJ1243" i="4"/>
  <c r="J109" i="3"/>
  <c r="L1274" i="4"/>
  <c r="T1275" i="4"/>
  <c r="AJ130" i="3"/>
  <c r="AJ1228" i="4"/>
  <c r="AJ106" i="3"/>
  <c r="AJ1264" i="4"/>
  <c r="J108" i="3"/>
  <c r="L1279" i="4"/>
  <c r="T1280" i="4"/>
  <c r="J132" i="3"/>
  <c r="L1238" i="4"/>
  <c r="T1239" i="4"/>
  <c r="K1269" i="4"/>
  <c r="S1270" i="4"/>
  <c r="K1243" i="4"/>
  <c r="S1244" i="4"/>
  <c r="K1213" i="4"/>
  <c r="S1214" i="4"/>
  <c r="J106" i="3"/>
  <c r="L1264" i="4"/>
  <c r="T1265" i="4"/>
  <c r="AJ1249" i="4"/>
  <c r="AJ118" i="3"/>
  <c r="J105" i="3"/>
  <c r="L1259" i="4"/>
  <c r="T1260" i="4"/>
  <c r="L1218" i="4"/>
  <c r="T1219" i="4"/>
  <c r="K125" i="3"/>
  <c r="K577" i="4" s="1"/>
  <c r="J128" i="3"/>
  <c r="AJ129" i="3"/>
  <c r="AJ1223" i="4"/>
  <c r="AJ108" i="3"/>
  <c r="AJ1279" i="4"/>
  <c r="AJ132" i="3"/>
  <c r="AJ1238" i="4"/>
  <c r="AJ105" i="3"/>
  <c r="AJ1259" i="4"/>
  <c r="L1249" i="4"/>
  <c r="T1250" i="4"/>
  <c r="J118" i="3"/>
  <c r="K117" i="3"/>
  <c r="K576" i="4" s="1"/>
  <c r="AJ107" i="3"/>
  <c r="AJ1269" i="4"/>
  <c r="AJ131" i="3"/>
  <c r="AJ1233" i="4"/>
  <c r="J131" i="3"/>
  <c r="L1233" i="4"/>
  <c r="T1234" i="4"/>
  <c r="S907" i="4"/>
  <c r="AE182" i="4"/>
  <c r="AE179" i="4"/>
  <c r="AE175" i="4"/>
  <c r="AE173" i="4"/>
  <c r="AE172" i="4"/>
  <c r="AE178" i="4"/>
  <c r="AE662" i="4"/>
  <c r="AE579" i="4" s="1"/>
  <c r="AE601" i="4" s="1"/>
  <c r="AE915" i="4"/>
  <c r="AE907" i="4" s="1"/>
  <c r="AE180" i="4"/>
  <c r="AE661" i="4"/>
  <c r="AE663" i="4"/>
  <c r="AE580" i="4" s="1"/>
  <c r="AE602" i="4" s="1"/>
  <c r="AE910" i="4"/>
  <c r="AE908" i="4" s="1"/>
  <c r="AE913" i="4"/>
  <c r="AE909" i="4" s="1"/>
  <c r="AE664" i="4"/>
  <c r="AE581" i="4" s="1"/>
  <c r="AE603" i="4" s="1"/>
  <c r="AE177" i="4"/>
  <c r="AG715" i="4"/>
  <c r="AG504" i="4" s="1"/>
  <c r="AF667" i="4"/>
  <c r="AF912" i="4" s="1"/>
  <c r="AF665" i="4"/>
  <c r="AF171" i="4" s="1"/>
  <c r="AF170" i="4" s="1"/>
  <c r="AF666" i="4"/>
  <c r="AF911" i="4" s="1"/>
  <c r="AF668" i="4"/>
  <c r="AF674" i="4"/>
  <c r="AF919" i="4" s="1"/>
  <c r="AF672" i="4"/>
  <c r="AF917" i="4" s="1"/>
  <c r="AF676" i="4"/>
  <c r="AF921" i="4" s="1"/>
  <c r="AF671" i="4"/>
  <c r="AF916" i="4" s="1"/>
  <c r="AF675" i="4"/>
  <c r="AF920" i="4" s="1"/>
  <c r="AF669" i="4"/>
  <c r="AF914" i="4" s="1"/>
  <c r="AF670" i="4"/>
  <c r="AF176" i="4" s="1"/>
  <c r="AF673" i="4"/>
  <c r="AF918" i="4" s="1"/>
  <c r="S909" i="4"/>
  <c r="S171" i="4"/>
  <c r="S910" i="4"/>
  <c r="S908" i="4" s="1"/>
  <c r="AD244" i="4"/>
  <c r="AC245" i="4"/>
  <c r="R170" i="4"/>
  <c r="AF168" i="4"/>
  <c r="S174" i="4"/>
  <c r="T182" i="4"/>
  <c r="S181" i="4"/>
  <c r="S180" i="4"/>
  <c r="S182" i="4"/>
  <c r="V168" i="4"/>
  <c r="V173" i="4"/>
  <c r="V177" i="4"/>
  <c r="V181" i="4"/>
  <c r="V174" i="4"/>
  <c r="V178" i="4"/>
  <c r="V182" i="4"/>
  <c r="V171" i="4"/>
  <c r="V175" i="4"/>
  <c r="V179" i="4"/>
  <c r="V172" i="4"/>
  <c r="V176" i="4"/>
  <c r="V180" i="4"/>
  <c r="S176" i="4"/>
  <c r="S179" i="4"/>
  <c r="S175" i="4"/>
  <c r="S173" i="4"/>
  <c r="T174" i="4"/>
  <c r="S663" i="4"/>
  <c r="S580" i="4" s="1"/>
  <c r="T670" i="4"/>
  <c r="T915" i="4" s="1"/>
  <c r="U442" i="4"/>
  <c r="U686" i="4" s="1"/>
  <c r="U669" i="4" s="1"/>
  <c r="U914" i="4" s="1"/>
  <c r="S662" i="4"/>
  <c r="S579" i="4" s="1"/>
  <c r="U445" i="4"/>
  <c r="U689" i="4" s="1"/>
  <c r="U672" i="4" s="1"/>
  <c r="U917" i="4" s="1"/>
  <c r="T456" i="4"/>
  <c r="S664" i="4"/>
  <c r="S581" i="4" s="1"/>
  <c r="U443" i="4"/>
  <c r="U456" i="4" s="1"/>
  <c r="S661" i="4"/>
  <c r="T455" i="4"/>
  <c r="T686" i="4"/>
  <c r="T669" i="4" s="1"/>
  <c r="T914" i="4" s="1"/>
  <c r="T461" i="4"/>
  <c r="T692" i="4"/>
  <c r="T675" i="4" s="1"/>
  <c r="T920" i="4" s="1"/>
  <c r="T457" i="4"/>
  <c r="T688" i="4"/>
  <c r="T671" i="4" s="1"/>
  <c r="T916" i="4" s="1"/>
  <c r="U461" i="4"/>
  <c r="U692" i="4"/>
  <c r="U675" i="4" s="1"/>
  <c r="U920" i="4" s="1"/>
  <c r="T459" i="4"/>
  <c r="T690" i="4"/>
  <c r="T673" i="4" s="1"/>
  <c r="T918" i="4" s="1"/>
  <c r="T453" i="4"/>
  <c r="T684" i="4"/>
  <c r="T667" i="4" s="1"/>
  <c r="T912" i="4" s="1"/>
  <c r="I458" i="4"/>
  <c r="I689" i="4"/>
  <c r="T458" i="4"/>
  <c r="T689" i="4"/>
  <c r="T672" i="4" s="1"/>
  <c r="T917" i="4" s="1"/>
  <c r="T451" i="4"/>
  <c r="T682" i="4"/>
  <c r="T665" i="4" s="1"/>
  <c r="T910" i="4" s="1"/>
  <c r="T460" i="4"/>
  <c r="T691" i="4"/>
  <c r="T674" i="4" s="1"/>
  <c r="T919" i="4" s="1"/>
  <c r="T452" i="4"/>
  <c r="T683" i="4"/>
  <c r="T666" i="4" s="1"/>
  <c r="T911" i="4" s="1"/>
  <c r="U447" i="4"/>
  <c r="U704" i="4"/>
  <c r="U441" i="4"/>
  <c r="U698" i="4"/>
  <c r="U449" i="4"/>
  <c r="U706" i="4"/>
  <c r="U446" i="4"/>
  <c r="U703" i="4"/>
  <c r="U439" i="4"/>
  <c r="U696" i="4"/>
  <c r="U438" i="4"/>
  <c r="U695" i="4"/>
  <c r="U444" i="4"/>
  <c r="U701" i="4"/>
  <c r="U440" i="4"/>
  <c r="U697" i="4"/>
  <c r="AJ441" i="4"/>
  <c r="AJ685" i="4" s="1"/>
  <c r="AJ445" i="4"/>
  <c r="AJ689" i="4" s="1"/>
  <c r="AJ444" i="4"/>
  <c r="AJ688" i="4" s="1"/>
  <c r="AJ447" i="4"/>
  <c r="AJ691" i="4" s="1"/>
  <c r="AJ442" i="4"/>
  <c r="AJ686" i="4" s="1"/>
  <c r="AJ409" i="4"/>
  <c r="AJ443" i="4"/>
  <c r="AJ687" i="4" s="1"/>
  <c r="AJ439" i="4"/>
  <c r="AJ683" i="4" s="1"/>
  <c r="AJ437" i="4"/>
  <c r="AJ681" i="4" s="1"/>
  <c r="AJ448" i="4"/>
  <c r="AJ692" i="4" s="1"/>
  <c r="AJ440" i="4"/>
  <c r="AJ684" i="4" s="1"/>
  <c r="AJ449" i="4"/>
  <c r="AJ693" i="4" s="1"/>
  <c r="AJ446" i="4"/>
  <c r="AJ690" i="4" s="1"/>
  <c r="AJ438" i="4"/>
  <c r="AJ682" i="4" s="1"/>
  <c r="AI148" i="4"/>
  <c r="AJ151" i="4"/>
  <c r="AK438" i="4"/>
  <c r="AK682" i="4" s="1"/>
  <c r="AK440" i="4"/>
  <c r="AK684" i="4" s="1"/>
  <c r="AK442" i="4"/>
  <c r="AK686" i="4" s="1"/>
  <c r="AK444" i="4"/>
  <c r="AK688" i="4" s="1"/>
  <c r="AK446" i="4"/>
  <c r="AK690" i="4" s="1"/>
  <c r="AK448" i="4"/>
  <c r="AK692" i="4" s="1"/>
  <c r="AK437" i="4"/>
  <c r="AK681" i="4" s="1"/>
  <c r="AK441" i="4"/>
  <c r="AK685" i="4" s="1"/>
  <c r="AK445" i="4"/>
  <c r="AK689" i="4" s="1"/>
  <c r="AK449" i="4"/>
  <c r="AK693" i="4" s="1"/>
  <c r="AK443" i="4"/>
  <c r="AK687" i="4" s="1"/>
  <c r="AK439" i="4"/>
  <c r="AK683" i="4" s="1"/>
  <c r="AK447" i="4"/>
  <c r="AK691" i="4" s="1"/>
  <c r="I446" i="4"/>
  <c r="AH340" i="4"/>
  <c r="AJ193" i="3"/>
  <c r="AI188" i="3"/>
  <c r="AI341" i="4" s="1"/>
  <c r="AI187" i="3"/>
  <c r="AI186" i="3"/>
  <c r="AI342" i="4" s="1"/>
  <c r="AK409" i="4"/>
  <c r="AK223" i="3"/>
  <c r="AK222" i="3" s="1"/>
  <c r="AJ222" i="3"/>
  <c r="J187" i="3"/>
  <c r="J186" i="3"/>
  <c r="J342" i="4" s="1"/>
  <c r="I190" i="3"/>
  <c r="J188" i="3"/>
  <c r="J341" i="4" s="1"/>
  <c r="I111" i="3"/>
  <c r="I110" i="3" s="1"/>
  <c r="J110" i="3"/>
  <c r="AG122" i="3"/>
  <c r="AF120" i="3"/>
  <c r="AG165" i="4"/>
  <c r="AI141" i="4"/>
  <c r="AH138" i="4"/>
  <c r="I210" i="3"/>
  <c r="J209" i="3"/>
  <c r="J208" i="3"/>
  <c r="AK163" i="4"/>
  <c r="AK160" i="4" s="1"/>
  <c r="AJ160" i="4"/>
  <c r="X138" i="4"/>
  <c r="J578" i="4"/>
  <c r="I133" i="3"/>
  <c r="AI578" i="4"/>
  <c r="AI600" i="4" s="1"/>
  <c r="AJ133" i="3"/>
  <c r="AK126" i="3"/>
  <c r="AG119" i="3"/>
  <c r="AF117" i="3"/>
  <c r="AF576" i="4" s="1"/>
  <c r="AF598" i="4" s="1"/>
  <c r="AJ110" i="3"/>
  <c r="AK111" i="3"/>
  <c r="AK110" i="3" s="1"/>
  <c r="AK121" i="3"/>
  <c r="AJ209" i="3"/>
  <c r="AJ208" i="3"/>
  <c r="AK210" i="3"/>
  <c r="AJ146" i="4"/>
  <c r="AI143" i="4"/>
  <c r="AK104" i="3"/>
  <c r="I107" i="3"/>
  <c r="I104" i="3"/>
  <c r="I223" i="3"/>
  <c r="I222" i="3" s="1"/>
  <c r="J222" i="3"/>
  <c r="W165" i="4"/>
  <c r="AF1324" i="4"/>
  <c r="AF1312" i="4"/>
  <c r="AG1344" i="4"/>
  <c r="AF1318" i="4"/>
  <c r="K340" i="4"/>
  <c r="I126" i="3"/>
  <c r="AH511" i="4" l="1"/>
  <c r="K575" i="4"/>
  <c r="T1255" i="4"/>
  <c r="L1254" i="4"/>
  <c r="L1208" i="4"/>
  <c r="AJ1254" i="4"/>
  <c r="AI708" i="4"/>
  <c r="AI503" i="4"/>
  <c r="AJ103" i="3"/>
  <c r="AJ575" i="4" s="1"/>
  <c r="AJ597" i="4" s="1"/>
  <c r="J103" i="3"/>
  <c r="S1255" i="4" s="1"/>
  <c r="J124" i="3"/>
  <c r="K1208" i="4" s="1"/>
  <c r="J1213" i="4"/>
  <c r="R1214" i="4"/>
  <c r="I131" i="3"/>
  <c r="K1233" i="4"/>
  <c r="S1234" i="4"/>
  <c r="AK107" i="3"/>
  <c r="AK1269" i="4"/>
  <c r="AK132" i="3"/>
  <c r="AK1238" i="4"/>
  <c r="AK129" i="3"/>
  <c r="AK1223" i="4"/>
  <c r="AK1249" i="4"/>
  <c r="AK118" i="3"/>
  <c r="I106" i="3"/>
  <c r="K1264" i="4"/>
  <c r="S1265" i="4"/>
  <c r="I108" i="3"/>
  <c r="K1279" i="4"/>
  <c r="S1280" i="4"/>
  <c r="AK130" i="3"/>
  <c r="AK1228" i="4"/>
  <c r="I129" i="3"/>
  <c r="K1223" i="4"/>
  <c r="S1224" i="4"/>
  <c r="AK1243" i="4"/>
  <c r="J1269" i="4"/>
  <c r="R1270" i="4"/>
  <c r="I578" i="4"/>
  <c r="K600" i="4" s="1"/>
  <c r="J1243" i="4"/>
  <c r="R1244" i="4"/>
  <c r="K1218" i="4"/>
  <c r="S1219" i="4"/>
  <c r="J125" i="3"/>
  <c r="J577" i="4" s="1"/>
  <c r="I128" i="3"/>
  <c r="I132" i="3"/>
  <c r="K1238" i="4"/>
  <c r="S1239" i="4"/>
  <c r="AK109" i="3"/>
  <c r="AK1274" i="4"/>
  <c r="AK131" i="3"/>
  <c r="AK1233" i="4"/>
  <c r="K1249" i="4"/>
  <c r="S1250" i="4"/>
  <c r="I118" i="3"/>
  <c r="J117" i="3"/>
  <c r="J576" i="4" s="1"/>
  <c r="AK105" i="3"/>
  <c r="AK1259" i="4"/>
  <c r="AK108" i="3"/>
  <c r="AK1279" i="4"/>
  <c r="AK106" i="3"/>
  <c r="AK1264" i="4"/>
  <c r="I105" i="3"/>
  <c r="K1259" i="4"/>
  <c r="S1260" i="4"/>
  <c r="I109" i="3"/>
  <c r="K1274" i="4"/>
  <c r="S1275" i="4"/>
  <c r="I130" i="3"/>
  <c r="K1228" i="4"/>
  <c r="S1229" i="4"/>
  <c r="W603" i="4"/>
  <c r="V603" i="4"/>
  <c r="X603" i="4"/>
  <c r="Y603" i="4"/>
  <c r="W602" i="4"/>
  <c r="X602" i="4"/>
  <c r="Y602" i="4"/>
  <c r="O600" i="4"/>
  <c r="V601" i="4"/>
  <c r="W601" i="4"/>
  <c r="X601" i="4"/>
  <c r="Y601" i="4"/>
  <c r="AF173" i="4"/>
  <c r="AF180" i="4"/>
  <c r="AF182" i="4"/>
  <c r="AF178" i="4"/>
  <c r="AF181" i="4"/>
  <c r="AF172" i="4"/>
  <c r="AF179" i="4"/>
  <c r="AF913" i="4"/>
  <c r="AF909" i="4" s="1"/>
  <c r="AF664" i="4"/>
  <c r="AF581" i="4" s="1"/>
  <c r="AF603" i="4" s="1"/>
  <c r="AF174" i="4"/>
  <c r="AF175" i="4"/>
  <c r="AF662" i="4"/>
  <c r="AF579" i="4" s="1"/>
  <c r="AF601" i="4" s="1"/>
  <c r="AF915" i="4"/>
  <c r="AF907" i="4" s="1"/>
  <c r="AH715" i="4"/>
  <c r="AH504" i="4" s="1"/>
  <c r="AG671" i="4"/>
  <c r="AG916" i="4" s="1"/>
  <c r="AG675" i="4"/>
  <c r="AG920" i="4" s="1"/>
  <c r="AG665" i="4"/>
  <c r="AG171" i="4" s="1"/>
  <c r="AG170" i="4" s="1"/>
  <c r="AG668" i="4"/>
  <c r="AG676" i="4"/>
  <c r="AG921" i="4" s="1"/>
  <c r="AG667" i="4"/>
  <c r="AG912" i="4" s="1"/>
  <c r="AG672" i="4"/>
  <c r="AG917" i="4" s="1"/>
  <c r="AG669" i="4"/>
  <c r="AG914" i="4" s="1"/>
  <c r="AG670" i="4"/>
  <c r="AG176" i="4" s="1"/>
  <c r="AG666" i="4"/>
  <c r="AG911" i="4" s="1"/>
  <c r="AG674" i="4"/>
  <c r="AG919" i="4" s="1"/>
  <c r="AG673" i="4"/>
  <c r="AG918" i="4" s="1"/>
  <c r="AF910" i="4"/>
  <c r="AF908" i="4" s="1"/>
  <c r="AF663" i="4"/>
  <c r="AF580" i="4" s="1"/>
  <c r="AF602" i="4" s="1"/>
  <c r="AF661" i="4"/>
  <c r="AF177" i="4"/>
  <c r="T909" i="4"/>
  <c r="T907" i="4"/>
  <c r="T908" i="4"/>
  <c r="AE244" i="4"/>
  <c r="AD245" i="4"/>
  <c r="S170" i="4"/>
  <c r="Z602" i="4"/>
  <c r="S602" i="4"/>
  <c r="V170" i="4"/>
  <c r="W168" i="4"/>
  <c r="W171" i="4"/>
  <c r="W175" i="4"/>
  <c r="W179" i="4"/>
  <c r="W172" i="4"/>
  <c r="W176" i="4"/>
  <c r="W180" i="4"/>
  <c r="W173" i="4"/>
  <c r="W177" i="4"/>
  <c r="W181" i="4"/>
  <c r="W174" i="4"/>
  <c r="W178" i="4"/>
  <c r="W182" i="4"/>
  <c r="T180" i="4"/>
  <c r="T178" i="4"/>
  <c r="T173" i="4"/>
  <c r="U181" i="4"/>
  <c r="T181" i="4"/>
  <c r="T176" i="4"/>
  <c r="AG168" i="4"/>
  <c r="U178" i="4"/>
  <c r="U175" i="4"/>
  <c r="T172" i="4"/>
  <c r="T171" i="4"/>
  <c r="T179" i="4"/>
  <c r="T177" i="4"/>
  <c r="T175" i="4"/>
  <c r="S603" i="4"/>
  <c r="Z603" i="4"/>
  <c r="S601" i="4"/>
  <c r="Z601" i="4"/>
  <c r="T663" i="4"/>
  <c r="T580" i="4" s="1"/>
  <c r="T602" i="4" s="1"/>
  <c r="U458" i="4"/>
  <c r="U455" i="4"/>
  <c r="T664" i="4"/>
  <c r="T581" i="4" s="1"/>
  <c r="T603" i="4" s="1"/>
  <c r="U687" i="4"/>
  <c r="U670" i="4" s="1"/>
  <c r="U915" i="4" s="1"/>
  <c r="T662" i="4"/>
  <c r="T579" i="4" s="1"/>
  <c r="T601" i="4" s="1"/>
  <c r="U453" i="4"/>
  <c r="U684" i="4"/>
  <c r="U667" i="4" s="1"/>
  <c r="U912" i="4" s="1"/>
  <c r="U451" i="4"/>
  <c r="U682" i="4"/>
  <c r="U665" i="4" s="1"/>
  <c r="U910" i="4" s="1"/>
  <c r="U459" i="4"/>
  <c r="U690" i="4"/>
  <c r="U673" i="4" s="1"/>
  <c r="U918" i="4" s="1"/>
  <c r="U454" i="4"/>
  <c r="U685" i="4"/>
  <c r="U668" i="4" s="1"/>
  <c r="U913" i="4" s="1"/>
  <c r="I459" i="4"/>
  <c r="I690" i="4"/>
  <c r="U457" i="4"/>
  <c r="U688" i="4"/>
  <c r="U671" i="4" s="1"/>
  <c r="U916" i="4" s="1"/>
  <c r="U452" i="4"/>
  <c r="U683" i="4"/>
  <c r="U666" i="4" s="1"/>
  <c r="U911" i="4" s="1"/>
  <c r="U462" i="4"/>
  <c r="U693" i="4"/>
  <c r="U676" i="4" s="1"/>
  <c r="U460" i="4"/>
  <c r="U691" i="4"/>
  <c r="U674" i="4" s="1"/>
  <c r="U919" i="4" s="1"/>
  <c r="AJ148" i="4"/>
  <c r="AK151" i="4"/>
  <c r="AK148" i="4" s="1"/>
  <c r="I447" i="4"/>
  <c r="AI340" i="4"/>
  <c r="AK193" i="3"/>
  <c r="AJ186" i="3"/>
  <c r="AJ342" i="4" s="1"/>
  <c r="AJ187" i="3"/>
  <c r="AJ188" i="3"/>
  <c r="AJ341" i="4" s="1"/>
  <c r="J340" i="4"/>
  <c r="AK208" i="3"/>
  <c r="AK209" i="3"/>
  <c r="AH165" i="4"/>
  <c r="AJ141" i="4"/>
  <c r="AI138" i="4"/>
  <c r="AH122" i="3"/>
  <c r="AG120" i="3"/>
  <c r="I188" i="3"/>
  <c r="I341" i="4" s="1"/>
  <c r="I187" i="3"/>
  <c r="I186" i="3"/>
  <c r="I342" i="4" s="1"/>
  <c r="X165" i="4"/>
  <c r="I208" i="3"/>
  <c r="I209" i="3"/>
  <c r="AG1312" i="4"/>
  <c r="AH1344" i="4"/>
  <c r="AG1318" i="4"/>
  <c r="AG1324" i="4"/>
  <c r="AK146" i="4"/>
  <c r="AK143" i="4" s="1"/>
  <c r="AJ143" i="4"/>
  <c r="AH119" i="3"/>
  <c r="AG117" i="3"/>
  <c r="AG576" i="4" s="1"/>
  <c r="AG598" i="4" s="1"/>
  <c r="AJ578" i="4"/>
  <c r="AJ600" i="4" s="1"/>
  <c r="AK133" i="3"/>
  <c r="AK578" i="4" s="1"/>
  <c r="AK600" i="4" s="1"/>
  <c r="L600" i="4" l="1"/>
  <c r="J600" i="4"/>
  <c r="AJ708" i="4"/>
  <c r="J503" i="4"/>
  <c r="I124" i="3"/>
  <c r="R1209" i="4" s="1"/>
  <c r="K1254" i="4"/>
  <c r="J575" i="4"/>
  <c r="I103" i="3"/>
  <c r="J1254" i="4" s="1"/>
  <c r="AJ503" i="4"/>
  <c r="AJ511" i="4" s="1"/>
  <c r="AI511" i="4"/>
  <c r="AI519" i="4"/>
  <c r="AI518" i="4" s="1"/>
  <c r="M600" i="4"/>
  <c r="AK1254" i="4"/>
  <c r="N600" i="4"/>
  <c r="AK103" i="3"/>
  <c r="AK503" i="4" s="1"/>
  <c r="S1209" i="4"/>
  <c r="J1274" i="4"/>
  <c r="R1275" i="4"/>
  <c r="I117" i="3"/>
  <c r="I576" i="4" s="1"/>
  <c r="J598" i="4" s="1"/>
  <c r="J1249" i="4"/>
  <c r="R1250" i="4"/>
  <c r="J1223" i="4"/>
  <c r="R1224" i="4"/>
  <c r="J1264" i="4"/>
  <c r="R1265" i="4"/>
  <c r="J1228" i="4"/>
  <c r="R1229" i="4"/>
  <c r="J1238" i="4"/>
  <c r="R1239" i="4"/>
  <c r="J1279" i="4"/>
  <c r="R1280" i="4"/>
  <c r="I125" i="3"/>
  <c r="I577" i="4" s="1"/>
  <c r="J1218" i="4"/>
  <c r="R1219" i="4"/>
  <c r="J1259" i="4"/>
  <c r="R1260" i="4"/>
  <c r="J1233" i="4"/>
  <c r="R1234" i="4"/>
  <c r="AG177" i="4"/>
  <c r="AG173" i="4"/>
  <c r="AG180" i="4"/>
  <c r="AG179" i="4"/>
  <c r="AG181" i="4"/>
  <c r="AG172" i="4"/>
  <c r="AG178" i="4"/>
  <c r="AG662" i="4"/>
  <c r="AG579" i="4" s="1"/>
  <c r="AG601" i="4" s="1"/>
  <c r="AG915" i="4"/>
  <c r="AG907" i="4" s="1"/>
  <c r="AG664" i="4"/>
  <c r="AG581" i="4" s="1"/>
  <c r="AG603" i="4" s="1"/>
  <c r="AG913" i="4"/>
  <c r="AG909" i="4" s="1"/>
  <c r="AG182" i="4"/>
  <c r="AG663" i="4"/>
  <c r="AG580" i="4" s="1"/>
  <c r="AG602" i="4" s="1"/>
  <c r="AG910" i="4"/>
  <c r="AG908" i="4" s="1"/>
  <c r="AG661" i="4"/>
  <c r="AI715" i="4"/>
  <c r="AI504" i="4" s="1"/>
  <c r="AH673" i="4"/>
  <c r="AH918" i="4" s="1"/>
  <c r="AH669" i="4"/>
  <c r="AH914" i="4" s="1"/>
  <c r="AH671" i="4"/>
  <c r="AH916" i="4" s="1"/>
  <c r="AH670" i="4"/>
  <c r="AH176" i="4" s="1"/>
  <c r="AH666" i="4"/>
  <c r="AH911" i="4" s="1"/>
  <c r="AH667" i="4"/>
  <c r="AH912" i="4" s="1"/>
  <c r="AH665" i="4"/>
  <c r="AH171" i="4" s="1"/>
  <c r="AH170" i="4" s="1"/>
  <c r="AH674" i="4"/>
  <c r="AH919" i="4" s="1"/>
  <c r="AH672" i="4"/>
  <c r="AH917" i="4" s="1"/>
  <c r="AH668" i="4"/>
  <c r="AH675" i="4"/>
  <c r="AH920" i="4" s="1"/>
  <c r="AH676" i="4"/>
  <c r="AH921" i="4" s="1"/>
  <c r="AG174" i="4"/>
  <c r="AG175" i="4"/>
  <c r="U907" i="4"/>
  <c r="U182" i="4"/>
  <c r="U921" i="4"/>
  <c r="V908" i="4" s="1"/>
  <c r="U909" i="4"/>
  <c r="U908" i="4"/>
  <c r="AF244" i="4"/>
  <c r="AE245" i="4"/>
  <c r="W170" i="4"/>
  <c r="T170" i="4"/>
  <c r="AH168" i="4"/>
  <c r="U180" i="4"/>
  <c r="U172" i="4"/>
  <c r="U179" i="4"/>
  <c r="U173" i="4"/>
  <c r="X168" i="4"/>
  <c r="X173" i="4"/>
  <c r="X177" i="4"/>
  <c r="X181" i="4"/>
  <c r="X174" i="4"/>
  <c r="X178" i="4"/>
  <c r="X182" i="4"/>
  <c r="X171" i="4"/>
  <c r="X175" i="4"/>
  <c r="X179" i="4"/>
  <c r="X172" i="4"/>
  <c r="X176" i="4"/>
  <c r="X180" i="4"/>
  <c r="U176" i="4"/>
  <c r="U177" i="4"/>
  <c r="U174" i="4"/>
  <c r="U171" i="4"/>
  <c r="V663" i="4"/>
  <c r="V580" i="4" s="1"/>
  <c r="V602" i="4" s="1"/>
  <c r="U663" i="4"/>
  <c r="U580" i="4" s="1"/>
  <c r="U602" i="4" s="1"/>
  <c r="T661" i="4"/>
  <c r="U662" i="4"/>
  <c r="U579" i="4" s="1"/>
  <c r="U601" i="4" s="1"/>
  <c r="U664" i="4"/>
  <c r="U581" i="4" s="1"/>
  <c r="U603" i="4" s="1"/>
  <c r="I460" i="4"/>
  <c r="I691" i="4"/>
  <c r="I448" i="4"/>
  <c r="AK188" i="3"/>
  <c r="AK341" i="4" s="1"/>
  <c r="AK186" i="3"/>
  <c r="AK342" i="4" s="1"/>
  <c r="AK187" i="3"/>
  <c r="AJ340" i="4"/>
  <c r="I340" i="4"/>
  <c r="AI165" i="4"/>
  <c r="AI1344" i="4"/>
  <c r="AH1318" i="4"/>
  <c r="AH1324" i="4"/>
  <c r="AH1312" i="4"/>
  <c r="AI119" i="3"/>
  <c r="AH117" i="3"/>
  <c r="AH576" i="4" s="1"/>
  <c r="AH598" i="4" s="1"/>
  <c r="AI122" i="3"/>
  <c r="AH120" i="3"/>
  <c r="AK141" i="4"/>
  <c r="AJ138" i="4"/>
  <c r="AH178" i="4" l="1"/>
  <c r="AJ519" i="4"/>
  <c r="AJ518" i="4" s="1"/>
  <c r="J1208" i="4"/>
  <c r="I503" i="4"/>
  <c r="R1255" i="4"/>
  <c r="I575" i="4"/>
  <c r="M597" i="4" s="1"/>
  <c r="AK575" i="4"/>
  <c r="AK597" i="4" s="1"/>
  <c r="AK511" i="4"/>
  <c r="AK519" i="4"/>
  <c r="AK518" i="4" s="1"/>
  <c r="AK708" i="4"/>
  <c r="O599" i="4"/>
  <c r="N599" i="4"/>
  <c r="K599" i="4"/>
  <c r="M599" i="4"/>
  <c r="L599" i="4"/>
  <c r="J599" i="4"/>
  <c r="O598" i="4"/>
  <c r="N598" i="4"/>
  <c r="M598" i="4"/>
  <c r="K598" i="4"/>
  <c r="L598" i="4"/>
  <c r="O597" i="4"/>
  <c r="AH182" i="4"/>
  <c r="AH172" i="4"/>
  <c r="AH179" i="4"/>
  <c r="AH181" i="4"/>
  <c r="AH180" i="4"/>
  <c r="AH177" i="4"/>
  <c r="AH173" i="4"/>
  <c r="AH664" i="4"/>
  <c r="AH581" i="4" s="1"/>
  <c r="AH603" i="4" s="1"/>
  <c r="AH913" i="4"/>
  <c r="AH909" i="4" s="1"/>
  <c r="AH175" i="4"/>
  <c r="AH174" i="4"/>
  <c r="AH915" i="4"/>
  <c r="AH907" i="4" s="1"/>
  <c r="AH662" i="4"/>
  <c r="AH579" i="4" s="1"/>
  <c r="AH601" i="4" s="1"/>
  <c r="AH663" i="4"/>
  <c r="AH580" i="4" s="1"/>
  <c r="AH602" i="4" s="1"/>
  <c r="AH910" i="4"/>
  <c r="AH908" i="4" s="1"/>
  <c r="AH661" i="4"/>
  <c r="AJ715" i="4"/>
  <c r="AJ504" i="4" s="1"/>
  <c r="AI676" i="4"/>
  <c r="AI921" i="4" s="1"/>
  <c r="AI669" i="4"/>
  <c r="AI914" i="4" s="1"/>
  <c r="AI674" i="4"/>
  <c r="AI919" i="4" s="1"/>
  <c r="AI672" i="4"/>
  <c r="AI917" i="4" s="1"/>
  <c r="AI666" i="4"/>
  <c r="AI911" i="4" s="1"/>
  <c r="AI665" i="4"/>
  <c r="AI171" i="4" s="1"/>
  <c r="AI170" i="4" s="1"/>
  <c r="AI668" i="4"/>
  <c r="AI174" i="4" s="1"/>
  <c r="AI667" i="4"/>
  <c r="AI912" i="4" s="1"/>
  <c r="AI675" i="4"/>
  <c r="AI920" i="4" s="1"/>
  <c r="AI670" i="4"/>
  <c r="AI176" i="4" s="1"/>
  <c r="AI673" i="4"/>
  <c r="AI918" i="4" s="1"/>
  <c r="AI671" i="4"/>
  <c r="AI916" i="4" s="1"/>
  <c r="AG244" i="4"/>
  <c r="AF245" i="4"/>
  <c r="U170" i="4"/>
  <c r="X170" i="4"/>
  <c r="AI168" i="4"/>
  <c r="U661" i="4"/>
  <c r="I461" i="4"/>
  <c r="I692" i="4"/>
  <c r="I449" i="4"/>
  <c r="AK340" i="4"/>
  <c r="AJ119" i="3"/>
  <c r="AI117" i="3"/>
  <c r="AI576" i="4" s="1"/>
  <c r="AI598" i="4" s="1"/>
  <c r="AI1324" i="4"/>
  <c r="AJ1344" i="4"/>
  <c r="AI1318" i="4"/>
  <c r="AI1312" i="4"/>
  <c r="AJ122" i="3"/>
  <c r="AI120" i="3"/>
  <c r="AK138" i="4"/>
  <c r="AJ165" i="4"/>
  <c r="N597" i="4" l="1"/>
  <c r="J597" i="4"/>
  <c r="K597" i="4"/>
  <c r="L597" i="4"/>
  <c r="AI172" i="4"/>
  <c r="AI182" i="4"/>
  <c r="AI180" i="4"/>
  <c r="AI179" i="4"/>
  <c r="AI175" i="4"/>
  <c r="AI181" i="4"/>
  <c r="AI177" i="4"/>
  <c r="AI178" i="4"/>
  <c r="AI173" i="4"/>
  <c r="AI664" i="4"/>
  <c r="AI581" i="4" s="1"/>
  <c r="AI603" i="4" s="1"/>
  <c r="AI913" i="4"/>
  <c r="AI909" i="4" s="1"/>
  <c r="AK715" i="4"/>
  <c r="AK504" i="4" s="1"/>
  <c r="AJ674" i="4"/>
  <c r="AJ919" i="4" s="1"/>
  <c r="AJ675" i="4"/>
  <c r="AJ920" i="4" s="1"/>
  <c r="AJ670" i="4"/>
  <c r="AJ176" i="4" s="1"/>
  <c r="AJ666" i="4"/>
  <c r="AJ911" i="4" s="1"/>
  <c r="AJ669" i="4"/>
  <c r="AJ914" i="4" s="1"/>
  <c r="AJ667" i="4"/>
  <c r="AJ912" i="4" s="1"/>
  <c r="AJ672" i="4"/>
  <c r="AJ917" i="4" s="1"/>
  <c r="AJ668" i="4"/>
  <c r="AJ174" i="4" s="1"/>
  <c r="AJ676" i="4"/>
  <c r="AJ921" i="4" s="1"/>
  <c r="AJ671" i="4"/>
  <c r="AJ916" i="4" s="1"/>
  <c r="AJ673" i="4"/>
  <c r="AJ918" i="4" s="1"/>
  <c r="AJ665" i="4"/>
  <c r="AJ171" i="4" s="1"/>
  <c r="AJ170" i="4" s="1"/>
  <c r="AI662" i="4"/>
  <c r="AI579" i="4" s="1"/>
  <c r="AI601" i="4" s="1"/>
  <c r="AI915" i="4"/>
  <c r="AI907" i="4" s="1"/>
  <c r="AI663" i="4"/>
  <c r="AI580" i="4" s="1"/>
  <c r="AI602" i="4" s="1"/>
  <c r="AI661" i="4"/>
  <c r="AI910" i="4"/>
  <c r="AI908" i="4" s="1"/>
  <c r="AH244" i="4"/>
  <c r="AG245" i="4"/>
  <c r="AJ168" i="4"/>
  <c r="I462" i="4"/>
  <c r="I693" i="4"/>
  <c r="AJ1324" i="4"/>
  <c r="AJ1312" i="4"/>
  <c r="AK1344" i="4"/>
  <c r="AJ1318" i="4"/>
  <c r="AK165" i="4"/>
  <c r="AK122" i="3"/>
  <c r="AK120" i="3" s="1"/>
  <c r="AJ120" i="3"/>
  <c r="AK119" i="3"/>
  <c r="AK117" i="3" s="1"/>
  <c r="AK576" i="4" s="1"/>
  <c r="AK598" i="4" s="1"/>
  <c r="AJ117" i="3"/>
  <c r="AJ576" i="4" s="1"/>
  <c r="AJ598" i="4" s="1"/>
  <c r="AJ179" i="4" l="1"/>
  <c r="AJ180" i="4"/>
  <c r="AJ172" i="4"/>
  <c r="AJ175" i="4"/>
  <c r="AJ182" i="4"/>
  <c r="AJ178" i="4"/>
  <c r="AJ181" i="4"/>
  <c r="AJ177" i="4"/>
  <c r="AJ661" i="4"/>
  <c r="AJ663" i="4"/>
  <c r="AJ580" i="4" s="1"/>
  <c r="AJ602" i="4" s="1"/>
  <c r="AJ910" i="4"/>
  <c r="AJ908" i="4" s="1"/>
  <c r="AJ913" i="4"/>
  <c r="AJ909" i="4" s="1"/>
  <c r="AJ664" i="4"/>
  <c r="AJ581" i="4" s="1"/>
  <c r="AJ603" i="4" s="1"/>
  <c r="AJ173" i="4"/>
  <c r="AJ915" i="4"/>
  <c r="AJ907" i="4" s="1"/>
  <c r="AJ662" i="4"/>
  <c r="AJ579" i="4" s="1"/>
  <c r="AJ601" i="4" s="1"/>
  <c r="AK665" i="4"/>
  <c r="AK666" i="4"/>
  <c r="AK911" i="4" s="1"/>
  <c r="AK669" i="4"/>
  <c r="AK914" i="4" s="1"/>
  <c r="AK676" i="4"/>
  <c r="AK921" i="4" s="1"/>
  <c r="AK672" i="4"/>
  <c r="AK917" i="4" s="1"/>
  <c r="AK674" i="4"/>
  <c r="AK919" i="4" s="1"/>
  <c r="AK673" i="4"/>
  <c r="AK918" i="4" s="1"/>
  <c r="AK671" i="4"/>
  <c r="AK916" i="4" s="1"/>
  <c r="AK675" i="4"/>
  <c r="AK920" i="4" s="1"/>
  <c r="AK668" i="4"/>
  <c r="AK174" i="4" s="1"/>
  <c r="AK667" i="4"/>
  <c r="AK912" i="4" s="1"/>
  <c r="AK670" i="4"/>
  <c r="AK176" i="4" s="1"/>
  <c r="AI244" i="4"/>
  <c r="AH245" i="4"/>
  <c r="AK168" i="4"/>
  <c r="AK1318" i="4"/>
  <c r="AK1324" i="4"/>
  <c r="AK1312" i="4"/>
  <c r="AK172" i="4" l="1"/>
  <c r="AK177" i="4"/>
  <c r="AK182" i="4"/>
  <c r="AK175" i="4"/>
  <c r="AK179" i="4"/>
  <c r="AK180" i="4"/>
  <c r="AK173" i="4"/>
  <c r="AK178" i="4"/>
  <c r="AK662" i="4"/>
  <c r="AK579" i="4" s="1"/>
  <c r="AK601" i="4" s="1"/>
  <c r="AK915" i="4"/>
  <c r="AK907" i="4" s="1"/>
  <c r="AK663" i="4"/>
  <c r="AK580" i="4" s="1"/>
  <c r="AK602" i="4" s="1"/>
  <c r="AK661" i="4"/>
  <c r="AK910" i="4"/>
  <c r="AK908" i="4" s="1"/>
  <c r="AK171" i="4"/>
  <c r="AK170" i="4" s="1"/>
  <c r="AK181" i="4"/>
  <c r="AK664" i="4"/>
  <c r="AK581" i="4" s="1"/>
  <c r="AK603" i="4" s="1"/>
  <c r="AK913" i="4"/>
  <c r="AK909" i="4" s="1"/>
  <c r="AJ244" i="4"/>
  <c r="AI245" i="4"/>
  <c r="AK244" i="4" l="1"/>
  <c r="AK245" i="4" s="1"/>
  <c r="AJ245" i="4"/>
  <c r="Z506" i="4"/>
  <c r="Z516" i="4" s="1"/>
  <c r="Z508" i="4" l="1"/>
  <c r="Z507" i="4"/>
  <c r="Z514" i="4" s="1"/>
  <c r="AA508" i="4"/>
  <c r="AB508" i="4"/>
  <c r="AC508" i="4"/>
  <c r="AD508" i="4"/>
  <c r="AE508" i="4"/>
  <c r="AF508" i="4"/>
  <c r="AG508" i="4"/>
  <c r="AH508" i="4"/>
  <c r="AI508" i="4" s="1"/>
  <c r="AJ508" i="4"/>
  <c r="Z509" i="4" l="1"/>
  <c r="AJ506" i="4"/>
  <c r="AJ516" i="4" s="1"/>
  <c r="AI506" i="4"/>
  <c r="AI516" i="4" s="1"/>
  <c r="AH506" i="4"/>
  <c r="AH516" i="4" s="1"/>
  <c r="AG506" i="4"/>
  <c r="AG516" i="4" s="1"/>
  <c r="AF506" i="4"/>
  <c r="AF516" i="4" s="1"/>
  <c r="AE506" i="4"/>
  <c r="AE516" i="4" s="1"/>
  <c r="AD506" i="4"/>
  <c r="AD516" i="4" s="1"/>
  <c r="AC506" i="4"/>
  <c r="AC516" i="4" s="1"/>
  <c r="AB506" i="4"/>
  <c r="AB516" i="4" s="1"/>
  <c r="AA506" i="4"/>
  <c r="AA516" i="4" s="1"/>
  <c r="AA509" i="4"/>
  <c r="AK508" i="4"/>
  <c r="AB509" i="4"/>
  <c r="AC509" i="4"/>
  <c r="AD509" i="4"/>
  <c r="AE509" i="4"/>
  <c r="AF509" i="4"/>
  <c r="AG509" i="4"/>
  <c r="AH509" i="4"/>
  <c r="AI509" i="4"/>
  <c r="AK506" i="4" l="1"/>
  <c r="AK516" i="4" s="1"/>
  <c r="AI507" i="4"/>
  <c r="AI514" i="4" s="1"/>
  <c r="AH507" i="4"/>
  <c r="AH514" i="4" s="1"/>
  <c r="AG507" i="4"/>
  <c r="AG514" i="4" s="1"/>
  <c r="AF507" i="4"/>
  <c r="AF514" i="4" s="1"/>
  <c r="AE507" i="4"/>
  <c r="AE514" i="4" s="1"/>
  <c r="AD507" i="4"/>
  <c r="AD514" i="4" s="1"/>
  <c r="AC507" i="4"/>
  <c r="AC514" i="4" s="1"/>
  <c r="AB507" i="4"/>
  <c r="AB514" i="4" s="1"/>
  <c r="AA507" i="4"/>
  <c r="AA514" i="4" s="1"/>
  <c r="AJ509" i="4"/>
  <c r="AK509" i="4" s="1"/>
  <c r="AK507" i="4" l="1"/>
  <c r="AK514" i="4" s="1"/>
  <c r="AJ507" i="4"/>
  <c r="AJ514" i="4" s="1"/>
  <c r="AF128" i="3" l="1"/>
  <c r="AG128" i="3" s="1"/>
  <c r="AF1141" i="4"/>
  <c r="AF1131" i="4" s="1"/>
  <c r="AF93" i="3"/>
  <c r="AF92" i="3"/>
  <c r="AK1143" i="4" l="1"/>
  <c r="AK1220" i="4" s="1"/>
  <c r="AH1143" i="4"/>
  <c r="AH1220" i="4" s="1"/>
  <c r="AF1143" i="4"/>
  <c r="AF1220" i="4" s="1"/>
  <c r="AF124" i="3"/>
  <c r="AG1208" i="4" s="1"/>
  <c r="AF1142" i="4"/>
  <c r="AF1219" i="4" s="1"/>
  <c r="AG1143" i="4"/>
  <c r="AG1220" i="4" s="1"/>
  <c r="AG1142" i="4"/>
  <c r="AG1219" i="4" s="1"/>
  <c r="AH1142" i="4"/>
  <c r="AH1219" i="4" s="1"/>
  <c r="AG1144" i="4"/>
  <c r="AG1221" i="4" s="1"/>
  <c r="AJ1144" i="4"/>
  <c r="AJ1221" i="4" s="1"/>
  <c r="AI1144" i="4"/>
  <c r="AI1221" i="4" s="1"/>
  <c r="AF1208" i="4"/>
  <c r="AJ1132" i="4"/>
  <c r="AJ1209" i="4" s="1"/>
  <c r="AG1133" i="4"/>
  <c r="AG1210" i="4" s="1"/>
  <c r="AK1134" i="4"/>
  <c r="AK1211" i="4" s="1"/>
  <c r="AG1132" i="4"/>
  <c r="AG1209" i="4" s="1"/>
  <c r="AH1133" i="4"/>
  <c r="AH1210" i="4" s="1"/>
  <c r="AF1132" i="4"/>
  <c r="AF1209" i="4" s="1"/>
  <c r="AK1132" i="4"/>
  <c r="AK1209" i="4" s="1"/>
  <c r="AF1133" i="4"/>
  <c r="AF1210" i="4" s="1"/>
  <c r="AI1134" i="4"/>
  <c r="AI1211" i="4" s="1"/>
  <c r="AI1133" i="4"/>
  <c r="AI1210" i="4" s="1"/>
  <c r="AI1132" i="4"/>
  <c r="AI1209" i="4" s="1"/>
  <c r="AH1132" i="4"/>
  <c r="AH1209" i="4" s="1"/>
  <c r="AF1134" i="4"/>
  <c r="AF1211" i="4" s="1"/>
  <c r="AK1133" i="4"/>
  <c r="AK1210" i="4" s="1"/>
  <c r="AH1134" i="4"/>
  <c r="AH1211" i="4" s="1"/>
  <c r="AJ1133" i="4"/>
  <c r="AJ1210" i="4" s="1"/>
  <c r="AJ1134" i="4"/>
  <c r="AJ1211" i="4" s="1"/>
  <c r="AG1134" i="4"/>
  <c r="AG1211" i="4" s="1"/>
  <c r="AH128" i="3"/>
  <c r="AH1218" i="4"/>
  <c r="AG124" i="3"/>
  <c r="AH1208" i="4" s="1"/>
  <c r="AG125" i="3"/>
  <c r="AG577" i="4" s="1"/>
  <c r="AG599" i="4" s="1"/>
  <c r="AF1144" i="4"/>
  <c r="AF1221" i="4" s="1"/>
  <c r="AJ1142" i="4"/>
  <c r="AJ1219" i="4" s="1"/>
  <c r="AI1143" i="4"/>
  <c r="AI1220" i="4" s="1"/>
  <c r="AF125" i="3"/>
  <c r="AF577" i="4" s="1"/>
  <c r="AF599" i="4" s="1"/>
  <c r="AI1142" i="4"/>
  <c r="AI1219" i="4" s="1"/>
  <c r="AF1218" i="4"/>
  <c r="AK1144" i="4"/>
  <c r="AK1221" i="4" s="1"/>
  <c r="AH1144" i="4"/>
  <c r="AH1221" i="4" s="1"/>
  <c r="AK1142" i="4"/>
  <c r="AK1219" i="4" s="1"/>
  <c r="AJ1143" i="4"/>
  <c r="AJ1220" i="4" s="1"/>
  <c r="AG1218" i="4"/>
  <c r="AH125" i="3" l="1"/>
  <c r="AH577" i="4" s="1"/>
  <c r="AH599" i="4" s="1"/>
  <c r="AI128" i="3"/>
  <c r="AI1218" i="4"/>
  <c r="AH124" i="3"/>
  <c r="AI1208" i="4" s="1"/>
  <c r="AI125" i="3" l="1"/>
  <c r="AI577" i="4" s="1"/>
  <c r="AI599" i="4" s="1"/>
  <c r="AJ128" i="3"/>
  <c r="AJ1218" i="4"/>
  <c r="AI124" i="3"/>
  <c r="AJ1208" i="4" s="1"/>
  <c r="AJ124" i="3" l="1"/>
  <c r="AK1208" i="4" s="1"/>
  <c r="AJ125" i="3"/>
  <c r="AJ577" i="4" s="1"/>
  <c r="AJ599" i="4" s="1"/>
  <c r="AK128" i="3"/>
  <c r="AK1218" i="4"/>
  <c r="AK124" i="3" l="1"/>
  <c r="AK125" i="3"/>
  <c r="AK577" i="4" s="1"/>
  <c r="AK599" i="4" s="1"/>
</calcChain>
</file>

<file path=xl/sharedStrings.xml><?xml version="1.0" encoding="utf-8"?>
<sst xmlns="http://schemas.openxmlformats.org/spreadsheetml/2006/main" count="6136" uniqueCount="2052">
  <si>
    <t>Data</t>
  </si>
  <si>
    <t>Total</t>
  </si>
  <si>
    <t>Complete Neighborhoods</t>
  </si>
  <si>
    <t>Rural Areas</t>
  </si>
  <si>
    <t>Conservation Easements</t>
  </si>
  <si>
    <t>Growth by Use</t>
  </si>
  <si>
    <t>Permanent Population</t>
  </si>
  <si>
    <t>Workers by Workplace Geography</t>
  </si>
  <si>
    <t>2nd/Seasonal Vacant Homes</t>
  </si>
  <si>
    <t>Average Household Size</t>
  </si>
  <si>
    <t>Lodging Occupancy</t>
  </si>
  <si>
    <t>Chamber</t>
  </si>
  <si>
    <t>BTNF Campround Occupancy</t>
  </si>
  <si>
    <t>CTNF Campground Occupancy</t>
  </si>
  <si>
    <t>GTNP Overnight Visitors</t>
  </si>
  <si>
    <t>YNP Overnight Visistors</t>
  </si>
  <si>
    <t>Daily VMT</t>
  </si>
  <si>
    <t>ATR Monthly Avearge Weekday Daily Traffic</t>
  </si>
  <si>
    <t xml:space="preserve"> </t>
  </si>
  <si>
    <t>LVE Electricity</t>
  </si>
  <si>
    <t>LVE Gas</t>
  </si>
  <si>
    <t>Enplanements</t>
  </si>
  <si>
    <t>Growth by Location</t>
  </si>
  <si>
    <t>Wildlife Vehicle Collisions</t>
  </si>
  <si>
    <t>JHWF</t>
  </si>
  <si>
    <t>HUD</t>
  </si>
  <si>
    <t>Indicators</t>
  </si>
  <si>
    <t>Table of Contents</t>
  </si>
  <si>
    <t>Public/Private Land Transfers</t>
  </si>
  <si>
    <t>Housing Tenure</t>
  </si>
  <si>
    <t>Planning Department databases</t>
  </si>
  <si>
    <t>Source:</t>
  </si>
  <si>
    <t>Indicators:</t>
  </si>
  <si>
    <t>Status:</t>
  </si>
  <si>
    <t>Data:</t>
  </si>
  <si>
    <t>Residential Units</t>
  </si>
  <si>
    <t>Complete Neighborhood</t>
  </si>
  <si>
    <t>Rural Area</t>
  </si>
  <si>
    <t>Lodging Units</t>
  </si>
  <si>
    <t>Net Buildout Change</t>
  </si>
  <si>
    <t>County Clerk records</t>
  </si>
  <si>
    <t>LDR Text/Zoning Map Amendments</t>
  </si>
  <si>
    <t>NonRes, NonLodging Floor Area</t>
  </si>
  <si>
    <t>Conservation and Buildout Datasheet</t>
  </si>
  <si>
    <t>Jackson/Teton County Indicator Report Datasheet</t>
  </si>
  <si>
    <t>County Clerk records: search for deeds from the past year in which the "United States" or "Wyoming" are the conveyee or conveyor</t>
  </si>
  <si>
    <t>Conservation</t>
  </si>
  <si>
    <t>Description</t>
  </si>
  <si>
    <t>Type</t>
  </si>
  <si>
    <t>Town County</t>
  </si>
  <si>
    <t>Rural or CN</t>
  </si>
  <si>
    <t>Date</t>
  </si>
  <si>
    <t>Site</t>
  </si>
  <si>
    <t>Before</t>
  </si>
  <si>
    <t>After</t>
  </si>
  <si>
    <t>Difference</t>
  </si>
  <si>
    <t>Notes</t>
  </si>
  <si>
    <t>Zone</t>
  </si>
  <si>
    <t>Res Units</t>
  </si>
  <si>
    <t>B915 P608</t>
  </si>
  <si>
    <t>East Gros Ventre Butte 42ac (Turner Trust)</t>
  </si>
  <si>
    <t>CE</t>
  </si>
  <si>
    <t>TC</t>
  </si>
  <si>
    <t>R</t>
  </si>
  <si>
    <t>22-41-16-15-3-00-011</t>
  </si>
  <si>
    <t>R-TC</t>
  </si>
  <si>
    <t>see Difference</t>
  </si>
  <si>
    <t>density transferred through noncontiguous PRD</t>
  </si>
  <si>
    <t>B915 P630</t>
  </si>
  <si>
    <t>East Gros Ventre Butte 20ac (Turner Trust)</t>
  </si>
  <si>
    <t>22-41-16-22-2-00-010</t>
  </si>
  <si>
    <t>B921 P499</t>
  </si>
  <si>
    <t>Jackson Hole Ranch Parcel B (JH Ranch Conservancy Fdn.)</t>
  </si>
  <si>
    <t>22-42-16-03-4-00-005</t>
  </si>
  <si>
    <t>R1</t>
  </si>
  <si>
    <t>Ordinance 1117</t>
  </si>
  <si>
    <t>Lots 17, 18, 19, Cache 4 and Lot 6, Block 4, Cache 1;212-
234 E Pearl; P15-100</t>
  </si>
  <si>
    <t>AMD</t>
  </si>
  <si>
    <t>ToJ</t>
  </si>
  <si>
    <t>CN</t>
  </si>
  <si>
    <t>AR</t>
  </si>
  <si>
    <t>UR</t>
  </si>
  <si>
    <t>ZMA 16-0001</t>
  </si>
  <si>
    <t>Munger Mountain School</t>
  </si>
  <si>
    <t>P/SP</t>
  </si>
  <si>
    <t>Ordinance 1120</t>
  </si>
  <si>
    <t>Westview Townhomes PUD-UR (P16-017)</t>
  </si>
  <si>
    <t>AC-ToJ</t>
  </si>
  <si>
    <t>PUD-UR</t>
  </si>
  <si>
    <t>Doc 908896</t>
  </si>
  <si>
    <t>Thomas Gilcrease Foundation to USA http://tetonwy.greenwoodmap.com/clerk/pdf/0908896.pdf</t>
  </si>
  <si>
    <t>PPT</t>
  </si>
  <si>
    <t>22-39-15-30-2-00-009</t>
  </si>
  <si>
    <t>n/a</t>
  </si>
  <si>
    <t>Ordinance 1131</t>
  </si>
  <si>
    <t>Lots 23, Webster LaPlant Homestead 5th Addition Future Phases; (P16-019)</t>
  </si>
  <si>
    <t>no change to density, three buildings instead of two</t>
  </si>
  <si>
    <t>Ordinance 1133</t>
  </si>
  <si>
    <t>PUD-AR Scarlet Addition (P16-39 &amp;P16-061)</t>
  </si>
  <si>
    <t>AR-ToJ</t>
  </si>
  <si>
    <t>PUD-AR</t>
  </si>
  <si>
    <t>ZMA 15-0002</t>
  </si>
  <si>
    <t>Snake River Sporting Club</t>
  </si>
  <si>
    <t>various</t>
  </si>
  <si>
    <t>Doc 913357</t>
  </si>
  <si>
    <t>Private to Wy Game and Fish http://tetonwy.greenwoodmap.com/clerk/pdf/0913357.pdf</t>
  </si>
  <si>
    <t>22-44-18-29-4-00-022</t>
  </si>
  <si>
    <t>R2</t>
  </si>
  <si>
    <t>Ordinance 1135</t>
  </si>
  <si>
    <t>Annexation - AC-TC to AC-TOJ;</t>
  </si>
  <si>
    <t>AC-TC</t>
  </si>
  <si>
    <t>Doc 915698</t>
  </si>
  <si>
    <t>Land Trust to USA http://tetonwy.greenwoodmap.com/clerk/pdf/0915698.pdf</t>
  </si>
  <si>
    <t>22-45-13-36-1-01-004</t>
  </si>
  <si>
    <t>already under conservation easement</t>
  </si>
  <si>
    <t>Ordinance 1156</t>
  </si>
  <si>
    <t>District 2</t>
  </si>
  <si>
    <t>increase allowed floor area by 264846. used standard use distribution assumptions</t>
  </si>
  <si>
    <t>Doc 918659</t>
  </si>
  <si>
    <t>antelope flats - school trust to GTNP http://tetonwy.greenwoodmap.com/clerk/pdf/0918659.pdf</t>
  </si>
  <si>
    <t>22-43-15-16-1-00-001</t>
  </si>
  <si>
    <t>ZMA 17-0004</t>
  </si>
  <si>
    <t>Teton Raptor Center</t>
  </si>
  <si>
    <t>22-41-17-22-4-00-016</t>
  </si>
  <si>
    <t>Buildout determined by easement</t>
  </si>
  <si>
    <t>R-2</t>
  </si>
  <si>
    <t>Buildout determiend by easement</t>
  </si>
  <si>
    <t>PUD 16-0004</t>
  </si>
  <si>
    <t>22-38-16-08-1-01-001</t>
  </si>
  <si>
    <t>R3</t>
  </si>
  <si>
    <t>seeDifference</t>
  </si>
  <si>
    <t>PR-SR</t>
  </si>
  <si>
    <t>Units added throught text amd to entire PUD, not through rezone.</t>
  </si>
  <si>
    <t>Ordinance 1168</t>
  </si>
  <si>
    <t>Hidden Hollow (former Forest Service site annexed in 2015 with UR designation)</t>
  </si>
  <si>
    <t>22-41-16-27-3-00-032</t>
  </si>
  <si>
    <t>B943 P765</t>
  </si>
  <si>
    <t>Crescent H Ranch Parcel 2 PRD (Harvey)</t>
  </si>
  <si>
    <t>County</t>
  </si>
  <si>
    <t>22-40-17-03-2-00-014</t>
  </si>
  <si>
    <t>R-1</t>
  </si>
  <si>
    <t>how do we do our R1 assumptions? Automatic FAO if meeting min lot size? We don’t count ARUs, right? Reserved rights of 2 SF and 2 accessory residential units. Nonsubivision PRD. In under old Rural regulations.</t>
  </si>
  <si>
    <t>East Gros Ventre Butte (JHLT)</t>
  </si>
  <si>
    <t>22-41-16-15-2-00-004</t>
  </si>
  <si>
    <t>Crescent H Ranch Lot 23 (Crescent H HOA)</t>
  </si>
  <si>
    <t>22-41-17-34-3-11-001</t>
  </si>
  <si>
    <t>PUD-R2</t>
  </si>
  <si>
    <t>See difference</t>
  </si>
  <si>
    <t>Buildout determined by PUD. CE didn't change buildout for property/no structures permitted.</t>
  </si>
  <si>
    <t>Crescent H Ranch Lot 22 (Crescent H HOA)</t>
  </si>
  <si>
    <t>22-41-17-34-3-11-002</t>
  </si>
  <si>
    <t>Ordinance 1184</t>
  </si>
  <si>
    <t>Sagebrush Apartments</t>
  </si>
  <si>
    <t>22-41-16-33-1-00-015</t>
  </si>
  <si>
    <t>CR-2</t>
  </si>
  <si>
    <t>475 S. Ely Springs Road (Livimac V, LLC)</t>
  </si>
  <si>
    <t>22-41-17-35-4-00-012</t>
  </si>
  <si>
    <t>no structure rights retained
FAO - .6 ARUs, round  down</t>
  </si>
  <si>
    <t>East Gros Ventre Butte Hilltop (JHLT)</t>
  </si>
  <si>
    <t>22-41-16-15-2-00-003</t>
  </si>
  <si>
    <t>Ordinance 1197</t>
  </si>
  <si>
    <t>Town D3-D6 Zoning Update; Added 9 character zones and deletetd 9 legacy zones; P17-077</t>
  </si>
  <si>
    <t>Town</t>
  </si>
  <si>
    <t>D3-D6 Engage 2017 AMD</t>
  </si>
  <si>
    <t>NA</t>
  </si>
  <si>
    <t>Crescent H Ranch Tract 6 (Crescent H - Tract 6, LLC) JHLT - PRD</t>
  </si>
  <si>
    <t>22-40-17-04-3-00-003</t>
  </si>
  <si>
    <t>DOP2016-0006, PRD Floor Area Option allowing 12637 additional floor area and 2 additional ARUs; 3.68 acre development area</t>
  </si>
  <si>
    <t>AMD2017-0006</t>
  </si>
  <si>
    <t>The Grand Targhee Resort Master Plan Amendment</t>
  </si>
  <si>
    <t>22-44-18-11-4-00-001</t>
  </si>
  <si>
    <t>PR-TG</t>
  </si>
  <si>
    <t>ZMA2018-0001</t>
  </si>
  <si>
    <t>Rezone Teton Village exaction parcel to P/SP</t>
  </si>
  <si>
    <t>22-42-16-19-3-00-009,001</t>
  </si>
  <si>
    <t>Chimney Draw (Chimney Draw LLC) JHLT</t>
  </si>
  <si>
    <t>22-40-17-23-2-00-003</t>
  </si>
  <si>
    <t>two 2-acre building envelopes; 4 structures assuming 1 SF DU and 1 ARU per building envelope</t>
  </si>
  <si>
    <t>P19-097/098</t>
  </si>
  <si>
    <t>165&amp;185 N Glenwood</t>
  </si>
  <si>
    <t>22-41-16-28-4-10-001,004</t>
  </si>
  <si>
    <t>DC/LO</t>
  </si>
  <si>
    <t>East Broadway (Café G LLC)</t>
  </si>
  <si>
    <t>22-41-16-27-3-00-009,010</t>
  </si>
  <si>
    <t>DC,UC</t>
  </si>
  <si>
    <t>easement extinguishes 37356 sf per easement, rest is retained or transferred</t>
  </si>
  <si>
    <t>ZMA2019-0001</t>
  </si>
  <si>
    <t>Levy Zoning Map Amendment: R1 to R2</t>
  </si>
  <si>
    <t>22-42-16-20-4-00-011</t>
  </si>
  <si>
    <t>ZMA2019-0002</t>
  </si>
  <si>
    <t>Hirshberg/Menolascino Rezone to NC-TC</t>
  </si>
  <si>
    <t>22-41-17-13-2-00-051,060</t>
  </si>
  <si>
    <t>NC</t>
  </si>
  <si>
    <t>AMD2019-0004</t>
  </si>
  <si>
    <t>Golf and Tennis</t>
  </si>
  <si>
    <t>PR-GT</t>
  </si>
  <si>
    <t>ZMA2019-0003</t>
  </si>
  <si>
    <t>CWC Jackson Campus rezone R1 to P/SP</t>
  </si>
  <si>
    <t>TBD</t>
  </si>
  <si>
    <t>22-40-16-06-4-00-006,007</t>
  </si>
  <si>
    <t>B19-0757</t>
  </si>
  <si>
    <t>1120 S. Park Loop Rd.</t>
  </si>
  <si>
    <t>22-40-16-06-1-00-014</t>
  </si>
  <si>
    <t>CR-3</t>
  </si>
  <si>
    <t>5 Workforce</t>
  </si>
  <si>
    <t>Ordinance 1244</t>
  </si>
  <si>
    <t>Old West Storage Annexation</t>
  </si>
  <si>
    <t>22-41-16-32-1-00-047</t>
  </si>
  <si>
    <t>Doc 930438</t>
  </si>
  <si>
    <t>Doc 933036</t>
  </si>
  <si>
    <t>Doc 933023</t>
  </si>
  <si>
    <t>Doc 935060</t>
  </si>
  <si>
    <t>Doc 946440</t>
  </si>
  <si>
    <t>Doc 954623</t>
  </si>
  <si>
    <t>Doc 962558</t>
  </si>
  <si>
    <t>Doc 975464</t>
  </si>
  <si>
    <t>Key:</t>
  </si>
  <si>
    <t>AMD - LDR Amendment, Zoning Map Amendment, PUD, Annexation</t>
  </si>
  <si>
    <t>PPT - Public/Private Land Transfer</t>
  </si>
  <si>
    <t>CE - Conservation Easement</t>
  </si>
  <si>
    <t>CNPRD - CNPRD Project</t>
  </si>
  <si>
    <t>Project</t>
  </si>
  <si>
    <t>Site Area (acres)</t>
  </si>
  <si>
    <t>Conservation Easements: ask the land trusts if the County GIS data is up to date; if not, have them update; if so, identify consveration easements recorded in the last year and record development potential and conservation statistics</t>
  </si>
  <si>
    <t>NonRes-NonLdg Sq Ft</t>
  </si>
  <si>
    <t>NRO</t>
  </si>
  <si>
    <t>SRO</t>
  </si>
  <si>
    <t>Ag</t>
  </si>
  <si>
    <t>Year</t>
  </si>
  <si>
    <t>CNPRD Bonus</t>
  </si>
  <si>
    <t>Workforce Housing Bonus (2 for 1 Tool)</t>
  </si>
  <si>
    <t>2for1</t>
  </si>
  <si>
    <t>2for1 - "2 for 1" Bonus Unit</t>
  </si>
  <si>
    <t>Building Department databases</t>
  </si>
  <si>
    <t>Residential</t>
  </si>
  <si>
    <t>Agriculture</t>
  </si>
  <si>
    <t>Detached Single Family Dwelling</t>
  </si>
  <si>
    <t>Attached Single Family Dwelling</t>
  </si>
  <si>
    <t>Apartment</t>
  </si>
  <si>
    <t>Guesthouse</t>
  </si>
  <si>
    <t>Mobile Home</t>
  </si>
  <si>
    <t>Residential Floor Area</t>
  </si>
  <si>
    <t>Lodging Floor Area</t>
  </si>
  <si>
    <t>Lodging</t>
  </si>
  <si>
    <t>Short-Term Rental</t>
  </si>
  <si>
    <t>NonRes NonLodging Floor Area</t>
  </si>
  <si>
    <t>"Commercial" Floor Area</t>
  </si>
  <si>
    <t>Common Area</t>
  </si>
  <si>
    <t>Outdoor Recreation</t>
  </si>
  <si>
    <t>Restaurant/Bar</t>
  </si>
  <si>
    <t>Office</t>
  </si>
  <si>
    <t>Retail</t>
  </si>
  <si>
    <t>Industrial</t>
  </si>
  <si>
    <t>Institutional</t>
  </si>
  <si>
    <t>should be attributed to surrounding use</t>
  </si>
  <si>
    <t>County Complete Neighborhoods</t>
  </si>
  <si>
    <t>District 1</t>
  </si>
  <si>
    <t>District 3</t>
  </si>
  <si>
    <t>District 4</t>
  </si>
  <si>
    <t>District 5</t>
  </si>
  <si>
    <t>District 6</t>
  </si>
  <si>
    <t>District 7</t>
  </si>
  <si>
    <t>Subarea 8.4</t>
  </si>
  <si>
    <t>District 11</t>
  </si>
  <si>
    <t>District 12</t>
  </si>
  <si>
    <t>District 13</t>
  </si>
  <si>
    <t>District 9</t>
  </si>
  <si>
    <t>District 10</t>
  </si>
  <si>
    <t>District 15</t>
  </si>
  <si>
    <t>District 8 (Less Subarea 8.4)</t>
  </si>
  <si>
    <t>Subarea 14.1</t>
  </si>
  <si>
    <t>Subareas 14.2 &amp; 14.3</t>
  </si>
  <si>
    <t>Nonresidential Floor Area</t>
  </si>
  <si>
    <t>Jobs (BEA)</t>
  </si>
  <si>
    <t>Total employment</t>
  </si>
  <si>
    <t> </t>
  </si>
  <si>
    <t>Wage and salary employment</t>
  </si>
  <si>
    <t>Proprietors employment</t>
  </si>
  <si>
    <t>Nonfarm proprietors employment 2/</t>
  </si>
  <si>
    <t>Farm proprietors employment</t>
  </si>
  <si>
    <t>By Type</t>
  </si>
  <si>
    <t>By Industry</t>
  </si>
  <si>
    <t>Farm employment</t>
  </si>
  <si>
    <t>Nonfarm employment</t>
  </si>
  <si>
    <t>Private nonfarm employment</t>
  </si>
  <si>
    <t>Government and government enterprises</t>
  </si>
  <si>
    <t>Federal, civilian</t>
  </si>
  <si>
    <t>Military</t>
  </si>
  <si>
    <t>State and local</t>
  </si>
  <si>
    <t>State government</t>
  </si>
  <si>
    <t>Local government</t>
  </si>
  <si>
    <t/>
  </si>
  <si>
    <t>(D)</t>
  </si>
  <si>
    <t>Forestry, fishing, and related activities</t>
  </si>
  <si>
    <t>Mining</t>
  </si>
  <si>
    <t>Utilities</t>
  </si>
  <si>
    <t>Construction</t>
  </si>
  <si>
    <t>Manufacturing</t>
  </si>
  <si>
    <t>Wholesale trade</t>
  </si>
  <si>
    <t>Retail trade</t>
  </si>
  <si>
    <t>Transportation and warehousing</t>
  </si>
  <si>
    <t>Information</t>
  </si>
  <si>
    <t>Finance and insurance</t>
  </si>
  <si>
    <t>Real estate and rental and leasing</t>
  </si>
  <si>
    <t>Professional, scientific, and technical services</t>
  </si>
  <si>
    <t>Management of companies and enterprises</t>
  </si>
  <si>
    <t>Administrative and waste management services</t>
  </si>
  <si>
    <t>Educational services</t>
  </si>
  <si>
    <t>Health care and social assistance</t>
  </si>
  <si>
    <t>Arts, entertainment, and recreation</t>
  </si>
  <si>
    <t>Accommodation and food services</t>
  </si>
  <si>
    <t>Other services, except public administration</t>
  </si>
  <si>
    <t>Jobs (QCEW)</t>
  </si>
  <si>
    <t>Annual</t>
  </si>
  <si>
    <t>January</t>
  </si>
  <si>
    <t>February</t>
  </si>
  <si>
    <t>March</t>
  </si>
  <si>
    <t>April</t>
  </si>
  <si>
    <t>May</t>
  </si>
  <si>
    <t>June</t>
  </si>
  <si>
    <t>July</t>
  </si>
  <si>
    <t>August</t>
  </si>
  <si>
    <t>September</t>
  </si>
  <si>
    <t>October</t>
  </si>
  <si>
    <t>November</t>
  </si>
  <si>
    <t>December</t>
  </si>
  <si>
    <t>Effective Population</t>
  </si>
  <si>
    <t>Employed Households</t>
  </si>
  <si>
    <t>START Ridership</t>
  </si>
  <si>
    <t>Active Commute Mode Share</t>
  </si>
  <si>
    <t>Employed Local Workforce (LAUS)</t>
  </si>
  <si>
    <t>Accuracy:</t>
  </si>
  <si>
    <t>Recency:</t>
  </si>
  <si>
    <t>Assumptions:</t>
  </si>
  <si>
    <t>Adjustments:</t>
  </si>
  <si>
    <t>One piece of the jobs puzzle - looks at all full and part time jobs (meaning higher jobs per employee factor) and includes proprietors to get at that piece of employment, BEA estimates are derived from BLS and IRS data</t>
  </si>
  <si>
    <t>Current</t>
  </si>
  <si>
    <t>From building permit database, only (small) accuracy question is net unit/development reporting especially earlier on in the dataset</t>
  </si>
  <si>
    <t>The data sources are the primary sources for the information and have been accurate</t>
  </si>
  <si>
    <t>Buildout assumptions are applied to the raw data</t>
  </si>
  <si>
    <t>Employed Labor Force</t>
  </si>
  <si>
    <t>Total Labor Force</t>
  </si>
  <si>
    <t>START</t>
  </si>
  <si>
    <t>DO NOT ENTER DATA ON THIS SHEET</t>
  </si>
  <si>
    <t>It is fairly consistent with the State estimate, but the State estimate is an alternative</t>
  </si>
  <si>
    <t>Lags a year (typically release in Nov/Dec of following year), the issue with all ACS data for small population areas is that it is based on the previous 5 years so indication of shifting trends can lag 3-5 years</t>
  </si>
  <si>
    <t>None, (would it make sense for effective population to prorate the growth by month? Are there months when people move? Does it matter?)</t>
  </si>
  <si>
    <t>LDR Amendements, Zone Changes, PUDs</t>
  </si>
  <si>
    <t>Public, Private Land Transfers</t>
  </si>
  <si>
    <t>Workforce Housing Bonus Units</t>
  </si>
  <si>
    <t>CN-PRD Bonus Units</t>
  </si>
  <si>
    <t>Calculated</t>
  </si>
  <si>
    <t>Planning Databases</t>
  </si>
  <si>
    <t>Clerk Records</t>
  </si>
  <si>
    <t>Land Trusts</t>
  </si>
  <si>
    <t>BEA</t>
  </si>
  <si>
    <t>BLS</t>
  </si>
  <si>
    <t>Employed Population (LAUS)</t>
  </si>
  <si>
    <t>Local Wage Jobs (QCEW)</t>
  </si>
  <si>
    <t>All Local Jobs (BEA)</t>
  </si>
  <si>
    <t>Source</t>
  </si>
  <si>
    <t>Restricted Units</t>
  </si>
  <si>
    <t>ACS (DP03)</t>
  </si>
  <si>
    <t>NPS (website)</t>
  </si>
  <si>
    <t>BTNF (email)</t>
  </si>
  <si>
    <t>WYDOT (website)</t>
  </si>
  <si>
    <t>ECW (email)</t>
  </si>
  <si>
    <t>Single-Family Home Price</t>
  </si>
  <si>
    <t>Hole Report (website)</t>
  </si>
  <si>
    <t>Home Price</t>
  </si>
  <si>
    <t>Assessor (email)</t>
  </si>
  <si>
    <t>Housing Department (email)</t>
  </si>
  <si>
    <t>constant (needs improvement)</t>
  </si>
  <si>
    <t>Table DP03, American Community Survey (ACS) 5-Year Estimate https://data.census.gov/cedsci/advanced</t>
  </si>
  <si>
    <t>Lags a year (typically release in Nov/Dec of following year), only goes back to 2010, the other issue with all ACS data for small population areas is that it is based on the previous 5 years so indication of shifting trends can lag 3-5 years</t>
  </si>
  <si>
    <t>Total Households</t>
  </si>
  <si>
    <t>Households with Earnings</t>
  </si>
  <si>
    <t>Household Employment and Income Data</t>
  </si>
  <si>
    <t>Teton County</t>
  </si>
  <si>
    <t>Alta CCD</t>
  </si>
  <si>
    <t>Jackson Hole CCD</t>
  </si>
  <si>
    <t>Town of Jackson</t>
  </si>
  <si>
    <t>Median Household Income</t>
  </si>
  <si>
    <t>Mean Household Income</t>
  </si>
  <si>
    <t>Families</t>
  </si>
  <si>
    <t>Per Capita Income</t>
  </si>
  <si>
    <t>Median Family Income</t>
  </si>
  <si>
    <t>Mean Family Income</t>
  </si>
  <si>
    <t>Table B08406, American Community Survey (ACS) 5-Year Estimate https://data.census.gov/cedsci/advanced</t>
  </si>
  <si>
    <t>None (but probably needs adjustment, it should be put into a jobs, commuters model to get a more accurate estimate)</t>
  </si>
  <si>
    <t>ACS (B08406)</t>
  </si>
  <si>
    <t>ACS (B08301)</t>
  </si>
  <si>
    <t>Bicycle</t>
  </si>
  <si>
    <t>Walked</t>
  </si>
  <si>
    <t>Worked from Home</t>
  </si>
  <si>
    <t>Building Databases (saved querries)</t>
  </si>
  <si>
    <t>Planning/Building Databases (saved querries)</t>
  </si>
  <si>
    <t>Health of Native Species</t>
  </si>
  <si>
    <t>Conservation vs. Subdivision of Rural Areas</t>
  </si>
  <si>
    <t>Water Quality</t>
  </si>
  <si>
    <t>Access to Enjoyment of Natural and Scenic Resources</t>
  </si>
  <si>
    <t>Greenhouse Gas Emissions</t>
  </si>
  <si>
    <t>Workforce Housing Pipeline</t>
  </si>
  <si>
    <t>Percentage of Jobs in Town</t>
  </si>
  <si>
    <t>Percentage of Housing in Town</t>
  </si>
  <si>
    <t>Percentage of Education in Town</t>
  </si>
  <si>
    <t>Percentage of Cultural Activity in Town</t>
  </si>
  <si>
    <t>Percentage of the Workforce Living Locally</t>
  </si>
  <si>
    <t>Housing Stock Profile</t>
  </si>
  <si>
    <t>Annual Growth Rate Comparison</t>
  </si>
  <si>
    <t>Jobs by Industry</t>
  </si>
  <si>
    <t>Single Occupancy Vehicle vs. Walk/Bike/Bus Travel Time</t>
  </si>
  <si>
    <t>Walk/Bike Modeshare</t>
  </si>
  <si>
    <t>Capital Project Group Benchmarks</t>
  </si>
  <si>
    <t>Wildlife Vehicle Collissions</t>
  </si>
  <si>
    <t>Level of Service</t>
  </si>
  <si>
    <t>Annual Monitoring and Implementation</t>
  </si>
  <si>
    <t>future</t>
  </si>
  <si>
    <t>Current Indicators</t>
  </si>
  <si>
    <t>Percentage of Workforce Living Locally</t>
  </si>
  <si>
    <t>Goal:</t>
  </si>
  <si>
    <t>Basic Method:</t>
  </si>
  <si>
    <t>Percentage of New Residential Units in Rural Areas</t>
  </si>
  <si>
    <t>Percentage of New Residential Units in Complete Neighborhoods</t>
  </si>
  <si>
    <t>New Residential Units</t>
  </si>
  <si>
    <t>Equation:</t>
  </si>
  <si>
    <t>Location of Potential Growth</t>
  </si>
  <si>
    <t>Amount of Potential Growth</t>
  </si>
  <si>
    <t>Location of Actual Growth</t>
  </si>
  <si>
    <t>Dataset:</t>
  </si>
  <si>
    <t>Jackson/Teton County Indicators</t>
  </si>
  <si>
    <t>The totals are a function of the ConservationBuildout Tracker beginning in 2016, from 2007-2015 the totals are entered based on older tracking sheets</t>
  </si>
  <si>
    <t>Vehicle Miles Traveled</t>
  </si>
  <si>
    <t>Multiplier</t>
  </si>
  <si>
    <t>Efficiency Factor</t>
  </si>
  <si>
    <t>Actual Surface Transportation Load</t>
  </si>
  <si>
    <t>Actual Electricity Emissions</t>
  </si>
  <si>
    <t>Actual Other Emissions</t>
  </si>
  <si>
    <t>Electricity Emissions Estimate</t>
  </si>
  <si>
    <t>Gas Emissions Estimate</t>
  </si>
  <si>
    <t>Surface Transportation Emissions Estimate</t>
  </si>
  <si>
    <t>Air Travel Emissions Estimate</t>
  </si>
  <si>
    <t>Other Emissions Estimate</t>
  </si>
  <si>
    <t>Total GHG Emissions Estimate</t>
  </si>
  <si>
    <t>Actual Gas Emissions</t>
  </si>
  <si>
    <t>Actual Total GHG Emissions</t>
  </si>
  <si>
    <t>Median Income (ACS)</t>
  </si>
  <si>
    <t>Median Income (HUD)</t>
  </si>
  <si>
    <t>Lower Valley Energy Electricity and Gas Load</t>
  </si>
  <si>
    <t>Energy Conservation Works (ECW) - email Phil Cameron, he has provided the data in the past and will provide consistent data</t>
  </si>
  <si>
    <t>2013-2020</t>
  </si>
  <si>
    <t>Electricity Use</t>
  </si>
  <si>
    <t>Commercial</t>
  </si>
  <si>
    <t>Gas Use</t>
  </si>
  <si>
    <t>2021-present</t>
  </si>
  <si>
    <t>The estimate for each category is summed to generate the total</t>
  </si>
  <si>
    <t>Per Capita (Effective Population) Emissions</t>
  </si>
  <si>
    <t>The annual GHG conversion factor is adjusted to reflect the increases in efficiency reflected in the 2 YTCC reports (2008 and 2018) - the efficiency factor should be adjusted again with the next YTCC study</t>
  </si>
  <si>
    <t>The same multiplier is used for each month in the year because it is not a precise enough model to justify prorating the efficiency assumption by month</t>
  </si>
  <si>
    <t>Maintain 2012 Levels</t>
  </si>
  <si>
    <t>Retired</t>
  </si>
  <si>
    <t>Seasonal Electricity</t>
  </si>
  <si>
    <t>Summer</t>
  </si>
  <si>
    <t>Winter</t>
  </si>
  <si>
    <t>Shoulder</t>
  </si>
  <si>
    <t>Per Capita (Effective Population) Electricity</t>
  </si>
  <si>
    <t>Reported 2013-2020, Methodology updated as part of 2020 GMP Update to provide monthly numbers and adjust commuters, seasonal workers, and 2nd homeowners</t>
  </si>
  <si>
    <t>Monitor</t>
  </si>
  <si>
    <t>Permanent Residents</t>
  </si>
  <si>
    <t>Daily Commuters</t>
  </si>
  <si>
    <t>Seasonal Residents</t>
  </si>
  <si>
    <t>Seasonal Workers</t>
  </si>
  <si>
    <t>Overnight Visitors</t>
  </si>
  <si>
    <t>Effective Population (Annual Average)</t>
  </si>
  <si>
    <t>Vacation Factor</t>
  </si>
  <si>
    <t>2nd Home Adjustment</t>
  </si>
  <si>
    <t>Proprietors Factor</t>
  </si>
  <si>
    <t>Jobs per Employee</t>
  </si>
  <si>
    <t>Workers by Workplace Geography (ACS)</t>
  </si>
  <si>
    <t>Population (ACS)</t>
  </si>
  <si>
    <t>% of Workforce Living Locally</t>
  </si>
  <si>
    <t>2nd Homes (ACS)</t>
  </si>
  <si>
    <t>QCEW Seasonal Average</t>
  </si>
  <si>
    <t>Conventional Lodging Units</t>
  </si>
  <si>
    <t>Dude Ranch and STR Units</t>
  </si>
  <si>
    <t>Campground sites</t>
  </si>
  <si>
    <t>Seasonal Occupancy Average</t>
  </si>
  <si>
    <t>Daily BTNF Campers</t>
  </si>
  <si>
    <t>Daily CTNF Campers</t>
  </si>
  <si>
    <t>Daily GTNP Campers</t>
  </si>
  <si>
    <t>Daily YNP Campers</t>
  </si>
  <si>
    <t>Days per season</t>
  </si>
  <si>
    <t>Individual Inputs</t>
  </si>
  <si>
    <t>ACS (DP04)</t>
  </si>
  <si>
    <t>ACS (B25004)</t>
  </si>
  <si>
    <t>ACS (B01003)</t>
  </si>
  <si>
    <t>&gt; 65% of the workforce living locally</t>
  </si>
  <si>
    <t>BEA Local Jobs</t>
  </si>
  <si>
    <t>LAUS Employed Local Workforce</t>
  </si>
  <si>
    <t>The percentage of the workforce living locally is a ratio of local workers to local jobs</t>
  </si>
  <si>
    <t>Local worker (LAUS) and local job (BEA) trends are monitored, but need to be calibrated to account for workers with multiple jobs</t>
  </si>
  <si>
    <t>The calibration is done using employee surveys obtained periodically when a Housing Needs Assessment is done</t>
  </si>
  <si>
    <t>It was also determined that a new methodology pulling in multiple datasets might provide a more accurate picture</t>
  </si>
  <si>
    <t>The 2020 finding that this assumption was not accurate led to the methodology update</t>
  </si>
  <si>
    <t>Divide the LAUS local workforce number by the BEA local jobs number to get a raw percentage</t>
  </si>
  <si>
    <t>Derive a multiplier by dividing the survey benchmark (2005 or 2014) by the raw percentage for that year</t>
  </si>
  <si>
    <t>Multiply each year's raw percentage by the multiplier</t>
  </si>
  <si>
    <t>Table B01003, American Community Survey (ACS) 5-Year Estimate https://data.census.gov/cedsci/advanced</t>
  </si>
  <si>
    <t>Select Housing Characteristics</t>
  </si>
  <si>
    <t>Table DP04, American Community Survey (ACS) 5-Year Estimate https://data.census.gov/cedsci/advanced</t>
  </si>
  <si>
    <t>Housing Units</t>
  </si>
  <si>
    <t>Occupied Housing Units</t>
  </si>
  <si>
    <t>Owner Occupied Housing Units</t>
  </si>
  <si>
    <t>Renter Occupied Housing Units</t>
  </si>
  <si>
    <t>Average Household Size: Owner-Occupied</t>
  </si>
  <si>
    <t>Average Household Size: Renter-Occupied</t>
  </si>
  <si>
    <t>Vacancy Status</t>
  </si>
  <si>
    <t>Table B25004, American Community Survey (ACS) 5-Year Estimate https://data.census.gov/cedsci/advanced</t>
  </si>
  <si>
    <t>Vacant</t>
  </si>
  <si>
    <t>Rented, not occupied</t>
  </si>
  <si>
    <t>For rent</t>
  </si>
  <si>
    <t>For sale only</t>
  </si>
  <si>
    <t>Sold, not occupied</t>
  </si>
  <si>
    <t>For migrant workers</t>
  </si>
  <si>
    <t>Other vacant</t>
  </si>
  <si>
    <t>Lags a month or two</t>
  </si>
  <si>
    <t>Not entirely sure what adjustments LVE makes</t>
  </si>
  <si>
    <t>Seemingly as good as possible, however I'm not exactly sure what goes on in LVE's processing of the meter data (notably the numbers do not match the numbers in the YTCC emissions report)</t>
  </si>
  <si>
    <t>Jackson Hole Wildlife Foundation - email the executive director (used to be Jon Mobec)</t>
  </si>
  <si>
    <t>Best available - JHWF compiles WYDOT, WYGF, and private observations and processes out duplicates</t>
  </si>
  <si>
    <t>Bighorn Sheep</t>
  </si>
  <si>
    <t>Elk</t>
  </si>
  <si>
    <t>Moose</t>
  </si>
  <si>
    <t>Mule Deer</t>
  </si>
  <si>
    <t>White-tailed Deer</t>
  </si>
  <si>
    <t>Sum Total</t>
  </si>
  <si>
    <t>Reported Total</t>
  </si>
  <si>
    <t>Through 2017 the data was provided by species and summed</t>
  </si>
  <si>
    <t>Lags a biological year - data is compiled May-April and reported in the final year of the span, for example data from 5/1/02 - 4/30/03 is reported in the 2003 column</t>
  </si>
  <si>
    <t>Processing is done by JHWF</t>
  </si>
  <si>
    <t>Reported 2013-present, any changes to methodology occurred within JHWF processing not indicator reporting</t>
  </si>
  <si>
    <t>In 2020 shifted to using the reported total rather than the sum total based on a shift in the data provided by JHWF</t>
  </si>
  <si>
    <t>All assumptions made by JHWF</t>
  </si>
  <si>
    <t>Report the single year total as well as the 5-year average</t>
  </si>
  <si>
    <t>The 5-year average is reported because WVCs increase with high valley snowfall, so the trend is reported as a 5-year average to mute the effects of high and low snow years</t>
  </si>
  <si>
    <t>The 5-year average is calculated by averaging the current year and the 4 previous years</t>
  </si>
  <si>
    <t>Single Year Count</t>
  </si>
  <si>
    <t>3-Year Average</t>
  </si>
  <si>
    <t>Energy Load (Retired)</t>
  </si>
  <si>
    <t>START Bus</t>
  </si>
  <si>
    <t>Good</t>
  </si>
  <si>
    <t>Typically pretty good, but requires some processing</t>
  </si>
  <si>
    <t>Processing done by START, unsure of assumptions/adjustments, but data is reviewed by outside consultants fairly regularly via ITP, Route study, etc.</t>
  </si>
  <si>
    <t>START Ridership All Routes</t>
  </si>
  <si>
    <t>Percentage of Population Served by START</t>
  </si>
  <si>
    <t>2013-2014</t>
  </si>
  <si>
    <t>3.6 million in 2035</t>
  </si>
  <si>
    <t>Report the total annual ridership as well as the seasonal per capita (effective population) ridership</t>
  </si>
  <si>
    <t>See Effective Population Indicator for Effective Population assumptions</t>
  </si>
  <si>
    <t>Any adjustments to ridership data are made by START</t>
  </si>
  <si>
    <t>Annual Ridership</t>
  </si>
  <si>
    <t>Per Capita (Effective Population) Rides per Month</t>
  </si>
  <si>
    <t>Reported 2013-present, no changes to methodology</t>
  </si>
  <si>
    <t>Future</t>
  </si>
  <si>
    <t>Month or two lag</t>
  </si>
  <si>
    <t>JH Chamber of Commerce Monthly Economic Dashboard</t>
  </si>
  <si>
    <t>The Chamber changed its reporting consultant in 2013 from Rocky Mountain Lodging Report to current Economic Dashboard methodology</t>
  </si>
  <si>
    <t>Lodging Occupancy by Month</t>
  </si>
  <si>
    <t>BTNF Campers</t>
  </si>
  <si>
    <t>BTNF Campground Occupancy</t>
  </si>
  <si>
    <t>Bridger-Teton National Forest (email Linda Merigliano)</t>
  </si>
  <si>
    <t>Previous year data typically available by early April</t>
  </si>
  <si>
    <t>Granite Campground</t>
  </si>
  <si>
    <t>Kozy Campground</t>
  </si>
  <si>
    <t>Hoback Campground</t>
  </si>
  <si>
    <t>East Table Campground</t>
  </si>
  <si>
    <t>Station Creek Campground</t>
  </si>
  <si>
    <t>Station Creek Group Site</t>
  </si>
  <si>
    <t>Wolf Creek Campground</t>
  </si>
  <si>
    <t>Little Cottonwood</t>
  </si>
  <si>
    <t>Curtis Canyon</t>
  </si>
  <si>
    <t>Atherton Campground</t>
  </si>
  <si>
    <t>Red Hills Campground</t>
  </si>
  <si>
    <t>Crystal Creek Campground</t>
  </si>
  <si>
    <t>Angles</t>
  </si>
  <si>
    <t>Box Creek</t>
  </si>
  <si>
    <t>Hatchet</t>
  </si>
  <si>
    <t>Turpin</t>
  </si>
  <si>
    <t>Pacific Creek</t>
  </si>
  <si>
    <t>Sheffield</t>
  </si>
  <si>
    <t>Caribou-Targhee National Forest</t>
  </si>
  <si>
    <t>Poor, Have been using a constant number of 118 campers per day in the summer, need to develop a relationship with Caribou-Targhee</t>
  </si>
  <si>
    <t>Not, a constant developed back in 2013</t>
  </si>
  <si>
    <t>Best available, but not great</t>
  </si>
  <si>
    <t>Does not include campers outside of BTNF campgrounds</t>
  </si>
  <si>
    <t>Would be better if the data were by month rather than for the entire summer season</t>
  </si>
  <si>
    <t>no adjustments are made to the data provided by BTNF</t>
  </si>
  <si>
    <t>Grand Teton Overnight Visitors</t>
  </si>
  <si>
    <t>National Park Service https://irma.nps.gov/Stats/SSRSReports/Park%20Specific%20Reports/Summary%20of%20Visitor%20Use%20By%20Month%20and%20Year%20(1979%20-%20Last%20Calendar%20Year)</t>
  </si>
  <si>
    <t>Total Annual Overnight Stays</t>
  </si>
  <si>
    <t>Good, overnight stays are more regulated in the National Park than they are in the National Forest</t>
  </si>
  <si>
    <t>Yellowstone Overnight Visitors</t>
  </si>
  <si>
    <t>Available January for the prior year</t>
  </si>
  <si>
    <t>National Park Service https://irma.nps.gov/Stats/SSRSReports/Park%20Specific%20Reports/Park%20YTD%20Version%201</t>
  </si>
  <si>
    <t>Couple month lag</t>
  </si>
  <si>
    <t>Monthly data is available going back to 1991, but was only saved into past datasheets beginning in 2015</t>
  </si>
  <si>
    <t>Occupancy</t>
  </si>
  <si>
    <t>Table B08301, American Community Survey (ACS) 5-Year Estimate https://data.census.gov/cedsci/advanced</t>
  </si>
  <si>
    <t>Total residents working</t>
  </si>
  <si>
    <t>Bike to work</t>
  </si>
  <si>
    <t>Walk to work</t>
  </si>
  <si>
    <t>Work at home</t>
  </si>
  <si>
    <t>Percentage of Transportation Network "Complete Streets"</t>
  </si>
  <si>
    <t>To derive the active commute modeshare in the ASC data: divide the number of residents commuting by bike or walk by the number of residents who are employed less the number of residents working from home</t>
  </si>
  <si>
    <t>Assumption is that the relationship between commuter modes share and all trips mode share is constant</t>
  </si>
  <si>
    <t>Percentage of all trips made by walk or bike</t>
  </si>
  <si>
    <t>Commercial Floor Area</t>
  </si>
  <si>
    <t>Institutional Floor Area</t>
  </si>
  <si>
    <t>Summer Effective Population</t>
  </si>
  <si>
    <t>Winter Effective Population</t>
  </si>
  <si>
    <t>Shoulder Effective Population</t>
  </si>
  <si>
    <t>Per Capita GDP</t>
  </si>
  <si>
    <t>Cost of Living</t>
  </si>
  <si>
    <t>Counts</t>
  </si>
  <si>
    <t>2013 baseline benchmark of all trips mode share</t>
  </si>
  <si>
    <t>Reported 2015-present, replaced Percentage of Transportation Network "complete streets" in 2015 Report based on ITP development</t>
  </si>
  <si>
    <t>History:</t>
  </si>
  <si>
    <t>Greater than 20% by 2035</t>
  </si>
  <si>
    <t>Adjust annual federal data on how many people walk or bike to work to estimate the percentage of all trips that are made by walk or bike.</t>
  </si>
  <si>
    <t>Active commute modeshare</t>
  </si>
  <si>
    <t>The 2013 benchmark was an estimate made as part of the modeling work done (by Fehr and Peers subconsulting to Charlier) to inform the ITP (similar to the benchmark for the VMT estimate)</t>
  </si>
  <si>
    <t>The benchmark should at least be updated to be consistent with the new traffic model. Even better would be a travel study/survey that would provide a periodic benchmark for the ACS trend data (similar to the periodic Housing Needs Assessments to calibrate the estimate of the percentage of the workforce living locally)</t>
  </si>
  <si>
    <t>This adjustment essentially assumes that the modeshare for all trips is consistently about 1.28 percentage points higher (16.1%/12.5%) than for commutes</t>
  </si>
  <si>
    <t>Multiply the active commute modeshare by ratio of 2013 Baseline to 2013 Active commute modeshare (16.1%/12.5%)</t>
  </si>
  <si>
    <t>US Department of Housing and Urban Development (HUD) https://www.huduser.gov/portal/datasets/il/il2020/select_Geography.odn</t>
  </si>
  <si>
    <t>Housing Affordability</t>
  </si>
  <si>
    <t>HUD Income Limit</t>
  </si>
  <si>
    <t>Jackson Hole Report https://jacksonholerealestatereport.com/2020-first-quarter-jackson-hole-real-estate-report/</t>
  </si>
  <si>
    <t>Teton County Assessor (email Kristin Williamson)</t>
  </si>
  <si>
    <t>Median Home Sale</t>
  </si>
  <si>
    <t>Average Home Sale</t>
  </si>
  <si>
    <t>Median Single-Family Home Sale</t>
  </si>
  <si>
    <t>HUD Median Family Income Limits</t>
  </si>
  <si>
    <t>Total Ownership</t>
  </si>
  <si>
    <t>Total Rental</t>
  </si>
  <si>
    <t>Total LDR Restricted (ARUs, Live/Work)</t>
  </si>
  <si>
    <t>Total Deed Restricted</t>
  </si>
  <si>
    <t>Town LDR Restricted (ARUs, Live/Work)</t>
  </si>
  <si>
    <t>Total Restricted</t>
  </si>
  <si>
    <t>JHCHT Ownership</t>
  </si>
  <si>
    <t>JHCHT Rental</t>
  </si>
  <si>
    <t>Habitat Ownership</t>
  </si>
  <si>
    <t>County LDR Restricted (Nonresidential ARUs)</t>
  </si>
  <si>
    <t>Year over year data is good, Housing Department as worked to clean up the historical starting point</t>
  </si>
  <si>
    <t>ARUs prior to 2018: All Town ARUs were considered LDR restricted housing units because the LDRs prohibited their use as guesthouses, County residential ARUs were considered guesthouses, County nonresidential ARUs were considered LDR restricted housing units (although some have restriction and care should be taken not to double count)</t>
  </si>
  <si>
    <t>The TCHA ownership category includes units with sunset clauses, which is why the number went down in 2019, this won't be an issue forever, but the result is the net remaining deed restrictions accounting for lost sunset units and new units</t>
  </si>
  <si>
    <t>Within the month, looking for occupied units (under construction units are handled in the pipeline information)</t>
  </si>
  <si>
    <t>Nonworkforce Units</t>
  </si>
  <si>
    <t>Ownership</t>
  </si>
  <si>
    <t>Rental</t>
  </si>
  <si>
    <t>Workforce Units (Households with earnings)</t>
  </si>
  <si>
    <t>Restricted Rental</t>
  </si>
  <si>
    <t>Restricted Ownership</t>
  </si>
  <si>
    <t>Annual Net Change</t>
  </si>
  <si>
    <t>2013 Baseline Benchmark for Countywide Annual VMT</t>
  </si>
  <si>
    <t>Daily VMT on State Highways in Teton County</t>
  </si>
  <si>
    <t>Growth Rate Comparison</t>
  </si>
  <si>
    <t>DVMT on State Highways in Teton County</t>
  </si>
  <si>
    <t>WYDOT VMB Book http://www.dot.state.wy.us/home/planning_projects/Traffic_Data.html</t>
  </si>
  <si>
    <t>Daily Vehicle Miles Traveled on State Highways in Teton County</t>
  </si>
  <si>
    <t>Monthly Average Weekday Traffic (MAWDT)</t>
  </si>
  <si>
    <t>WYDOT Monthly Automated Traffic Recorder (ATR) Reports http://www.dot.state.wy.us/home/planning_projects/Traffic_Data.html</t>
  </si>
  <si>
    <t>ATR #32 (Jackson South US 191/89)</t>
  </si>
  <si>
    <t>ATR #32 was turned off during the South 89 widening which is why there is no data for 2017-most of 2019. ATR #74 (in Snake River Canyon is was used as a proxy during that period)</t>
  </si>
  <si>
    <t>no data</t>
  </si>
  <si>
    <t>ATR #84 (Gros Ventre Junc. US 26/89/189/191 South of Kelly)</t>
  </si>
  <si>
    <t>ATR #74 (US 89 at Lincoln/Teton Line)</t>
  </si>
  <si>
    <t>ATR #158 (Jackson West; WY22 West of Jackson; Skyline Curve)</t>
  </si>
  <si>
    <t>ATR #141N (Jackson West; WY22 West of Jackson; Skyline Curve)</t>
  </si>
  <si>
    <t>Constant</t>
  </si>
  <si>
    <t>ATR #32</t>
  </si>
  <si>
    <t>ATR #84</t>
  </si>
  <si>
    <t>ATR #158</t>
  </si>
  <si>
    <t>ATR #141N</t>
  </si>
  <si>
    <t>Daily VMT Estimate Based on ATR MAWDT Data</t>
  </si>
  <si>
    <t>Calculated due to no data for the month, calculation used varies by circumstance - see individual cell</t>
  </si>
  <si>
    <t>ATR MAWDT 2009-2018 Regression Coefficients (R2=.9968)</t>
  </si>
  <si>
    <t>ITP</t>
  </si>
  <si>
    <t>Per capita (permanent population) GDP</t>
  </si>
  <si>
    <t>Per capita (permanent population) income</t>
  </si>
  <si>
    <t>needs reconsideration</t>
  </si>
  <si>
    <t>needs recalibration</t>
  </si>
  <si>
    <t>is this the right number to use?</t>
  </si>
  <si>
    <t>should this be adjusted by month?</t>
  </si>
  <si>
    <t>why constant? Should be adjusted annually</t>
  </si>
  <si>
    <t>calculation needs analysis is number so high because of May, October?</t>
  </si>
  <si>
    <t>need to make sure there aren't any changes</t>
  </si>
  <si>
    <t>is this right?</t>
  </si>
  <si>
    <t>why is this constant? What's right?</t>
  </si>
  <si>
    <t>It would be interesting to back test the renter/owner ratios by comparing voter and ownership records</t>
  </si>
  <si>
    <t>Rural Area Subdivisions</t>
  </si>
  <si>
    <t>Educational Facilities Inventory</t>
  </si>
  <si>
    <t>Planning Database/GIS</t>
  </si>
  <si>
    <t>Housing Department</t>
  </si>
  <si>
    <t>LEHD</t>
  </si>
  <si>
    <t>Gross Domestic Product</t>
  </si>
  <si>
    <t>Per capita Income</t>
  </si>
  <si>
    <t>GDP (BEA)</t>
  </si>
  <si>
    <t>Private industries</t>
  </si>
  <si>
    <t>Agriculture, forestry, fishing and hunting</t>
  </si>
  <si>
    <t>Mining, quarrying, and oil and gas extraction</t>
  </si>
  <si>
    <t>Durable goods manufacturing</t>
  </si>
  <si>
    <t>Nondurable goods manufacturing</t>
  </si>
  <si>
    <t>Finance, insurance, real estate, rental, and leasing</t>
  </si>
  <si>
    <t>Professional and business services</t>
  </si>
  <si>
    <t>Administrative and support and waste management and remediation services</t>
  </si>
  <si>
    <t>Educational services, health care, and social assistance</t>
  </si>
  <si>
    <t>Arts, entertainment, recreation, accommodation, and food services</t>
  </si>
  <si>
    <t>Other services (except government and government enterprises)</t>
  </si>
  <si>
    <t>Addenda:</t>
  </si>
  <si>
    <t>Current-dollar GDP (thousands of current dollars)</t>
  </si>
  <si>
    <t>Chain-type quantity indexes for real GDP</t>
  </si>
  <si>
    <t>Real GDP (thousands of chained 2012 dollars)</t>
  </si>
  <si>
    <t>Gross Domestic Product (CAGDP1)</t>
  </si>
  <si>
    <t>Contributions to Percent Change in Real GDP (All industry total)</t>
  </si>
  <si>
    <t>Private goods-producing industries (Linecodes 3,6,11,12)</t>
  </si>
  <si>
    <t>Private services-providing industries (Linecodes 10,34,35,36,45,50,59,68,75,82)</t>
  </si>
  <si>
    <t>Manufacturing and information (Linecodes 12,45)</t>
  </si>
  <si>
    <t>Transportation and utilities (Linecodes 10,36)</t>
  </si>
  <si>
    <t>Natural resources and mining (Linecodes 3,6)</t>
  </si>
  <si>
    <t>Trade (Linecodes 34,35)</t>
  </si>
  <si>
    <t>Growth Rate Comparison (GDP per Capita)</t>
  </si>
  <si>
    <t>Only known source of estimate</t>
  </si>
  <si>
    <t>These are relatively new data that BEA only began reporting in 2019, expect adjustments to the data as the datasets are filled out and updated, check to make sure the row titles and back data match as new years of data are added</t>
  </si>
  <si>
    <t>Personal income (thousands of dollars)</t>
  </si>
  <si>
    <t>Income by place of residence</t>
  </si>
  <si>
    <t>Derivation of personal income</t>
  </si>
  <si>
    <t>Earnings by place of work</t>
  </si>
  <si>
    <t>Equals: Net earnings by place of residence</t>
  </si>
  <si>
    <t>Plus: Personal current transfer receipts</t>
  </si>
  <si>
    <t>Components of earnings by place of work (thousands of dollars)</t>
  </si>
  <si>
    <t>Wages and salaries</t>
  </si>
  <si>
    <t>Supplements to wages and salaries</t>
  </si>
  <si>
    <t>Employment (number of jobs)</t>
  </si>
  <si>
    <t xml:space="preserve">  Wage and salary employment</t>
  </si>
  <si>
    <t xml:space="preserve">  Proprietors employment</t>
  </si>
  <si>
    <t>10</t>
  </si>
  <si>
    <t>11</t>
  </si>
  <si>
    <t>12</t>
  </si>
  <si>
    <t>20</t>
  </si>
  <si>
    <t>30</t>
  </si>
  <si>
    <t>35</t>
  </si>
  <si>
    <t>36</t>
  </si>
  <si>
    <t>37</t>
  </si>
  <si>
    <t>38</t>
  </si>
  <si>
    <t>42</t>
  </si>
  <si>
    <t>45</t>
  </si>
  <si>
    <t>46</t>
  </si>
  <si>
    <t>47</t>
  </si>
  <si>
    <t>50</t>
  </si>
  <si>
    <t>60</t>
  </si>
  <si>
    <t>61</t>
  </si>
  <si>
    <t>62</t>
  </si>
  <si>
    <t>70</t>
  </si>
  <si>
    <t>71</t>
  </si>
  <si>
    <t>72</t>
  </si>
  <si>
    <t>7010</t>
  </si>
  <si>
    <t>7020</t>
  </si>
  <si>
    <t>7040</t>
  </si>
  <si>
    <t>Nonfarm personal income (total personal income less farm income)</t>
  </si>
  <si>
    <t>Farm income (farm earnings less farm employer contributions for social insurance)</t>
  </si>
  <si>
    <t>Population (persons) (Census mid-year population estimate)</t>
  </si>
  <si>
    <t>Less: Contributions for government social insurance (Employer contributions for government social insurance are included in earnings by industry and earnings by place of work, but they are excluded from net earnings by place of residence and personal income. Employee and self-employed contributions are subtractions in the calculation of net earnings by place of residence and all of the income measures.)</t>
  </si>
  <si>
    <t>Plus: Adjustment for residence (The adjustment for residence is the net inflow of the earnings of interarea commuters. For the United States, it consists of adjustments for border workers and US residents employed by international organizations and foreign embassies.)</t>
  </si>
  <si>
    <t>Plus: Dividends, interest, and rent (Rental income of persons includes the capital consumption adjustment.)</t>
  </si>
  <si>
    <t>Employee and self-employed contributions for government social insurance</t>
  </si>
  <si>
    <t>Employer contributions for government social insurance</t>
  </si>
  <si>
    <t>Employer contributions for employee pension and insurance funds (Includes actual employer contributions and actuarially imputed employer contributions to reflect benefits accrued by defined benefit pension plan participants through service to employers in the current period.)</t>
  </si>
  <si>
    <t>Proprietors' income (Proprietors' income includes the inventory valuation adjustment and the capital consumption adjustment.)</t>
  </si>
  <si>
    <t>More complete description than ACS data because it includes dividend, interest and rent income in addition to earnings, ACS only looks at earned (wage) income</t>
  </si>
  <si>
    <t>Farm proprietors' income</t>
  </si>
  <si>
    <t>Nonfarm proprietors' income</t>
  </si>
  <si>
    <t>Personal Income (BEA)</t>
  </si>
  <si>
    <t>All Other Locations</t>
  </si>
  <si>
    <r>
      <t xml:space="preserve">CCD of Residence for </t>
    </r>
    <r>
      <rPr>
        <u/>
        <sz val="11"/>
        <color rgb="FFC00000"/>
        <rFont val="Calibri"/>
        <family val="2"/>
        <scheme val="minor"/>
      </rPr>
      <t>All Jobs</t>
    </r>
    <r>
      <rPr>
        <sz val="11"/>
        <color rgb="FFC00000"/>
        <rFont val="Calibri"/>
        <family val="2"/>
        <scheme val="minor"/>
      </rPr>
      <t xml:space="preserve"> in Jackson Hole CCD</t>
    </r>
  </si>
  <si>
    <r>
      <t xml:space="preserve">CCD of Residence for </t>
    </r>
    <r>
      <rPr>
        <u/>
        <sz val="11"/>
        <color rgb="FFC00000"/>
        <rFont val="Calibri"/>
        <family val="2"/>
        <scheme val="minor"/>
      </rPr>
      <t>Primary Jobs</t>
    </r>
    <r>
      <rPr>
        <sz val="11"/>
        <color rgb="FFC00000"/>
        <rFont val="Calibri"/>
        <family val="2"/>
        <scheme val="minor"/>
      </rPr>
      <t xml:space="preserve"> in Jackson Hole CCD</t>
    </r>
  </si>
  <si>
    <t>Jackson Hole CCD (Teton, WY)</t>
  </si>
  <si>
    <t>Victor CCD (Teton, ID)</t>
  </si>
  <si>
    <t>Afton CCD (Lincoln, WY)</t>
  </si>
  <si>
    <t>Driggs CCD (Teton, ID)</t>
  </si>
  <si>
    <t>Tetonia CCD (Teton, ID)</t>
  </si>
  <si>
    <t>Idaho Falls CCD (Bonneville, ID)</t>
  </si>
  <si>
    <t>Casper CCD (Natrona, WY)</t>
  </si>
  <si>
    <t>Rock Springs North CCD (Sweetwater, WY)</t>
  </si>
  <si>
    <t>Alta CCD (Teton, WY)</t>
  </si>
  <si>
    <t>Salt Lake City CCD (Salt Lake, UT)</t>
  </si>
  <si>
    <r>
      <t xml:space="preserve">CCD of </t>
    </r>
    <r>
      <rPr>
        <u/>
        <sz val="11"/>
        <color rgb="FFC00000"/>
        <rFont val="Calibri"/>
        <family val="2"/>
        <scheme val="minor"/>
      </rPr>
      <t>All Jobs</t>
    </r>
    <r>
      <rPr>
        <sz val="11"/>
        <color rgb="FFC00000"/>
        <rFont val="Calibri"/>
        <family val="2"/>
        <scheme val="minor"/>
      </rPr>
      <t xml:space="preserve"> for Workers that Live in Jackson Hole CCD</t>
    </r>
  </si>
  <si>
    <r>
      <t xml:space="preserve">CCD of </t>
    </r>
    <r>
      <rPr>
        <u/>
        <sz val="11"/>
        <color rgb="FFC00000"/>
        <rFont val="Calibri"/>
        <family val="2"/>
        <scheme val="minor"/>
      </rPr>
      <t>Primary Jobs</t>
    </r>
    <r>
      <rPr>
        <sz val="11"/>
        <color rgb="FFC00000"/>
        <rFont val="Calibri"/>
        <family val="2"/>
        <scheme val="minor"/>
      </rPr>
      <t xml:space="preserve"> for Workers that Live in Jackson Hole CCD</t>
    </r>
  </si>
  <si>
    <t>Yellowstone National Park CCD (Teton, WY)</t>
  </si>
  <si>
    <t>Cheyenne CCD (Laramie, WY)</t>
  </si>
  <si>
    <t>Wind River Reservation CCD (Fremont, WY)</t>
  </si>
  <si>
    <t>Jobs</t>
  </si>
  <si>
    <t>LEHD/LAUS</t>
  </si>
  <si>
    <t>Out-Commuters</t>
  </si>
  <si>
    <t>Resident Proprietors</t>
  </si>
  <si>
    <t>In-Commuters</t>
  </si>
  <si>
    <t>LEHD Out-Commute Percentage</t>
  </si>
  <si>
    <t>TBD (Strategy 1.G.S.1)</t>
  </si>
  <si>
    <t>Future (Strategy 1.G.S.1)</t>
  </si>
  <si>
    <t>Air Quality</t>
  </si>
  <si>
    <t>Exceed state and federal requirements (Policy 1.2.c)</t>
  </si>
  <si>
    <t>Conservation has been reported since 2013, the comparison to subdivision was added in 2021 following the 2020 GMP Update.</t>
  </si>
  <si>
    <t>From 2013-2017, conservation acreage was reported in total and by conservation value (wildlife, scenic, agriculture, public access)</t>
  </si>
  <si>
    <t>From 2018-2020, conservation acreage was reported in total and by protected resource (NRO, SRO, Ag Land)</t>
  </si>
  <si>
    <t>"Maintain healthy populations of all native species" (Chapter 1 Goal)</t>
  </si>
  <si>
    <t>"Preserve quality natural, scenic, and agricultural resources" (Chapter 1 Goal)</t>
  </si>
  <si>
    <t>More Conservation than Subdivision (Policy 1.4.c)</t>
  </si>
  <si>
    <t>Since 2012 the policy of the community has been to maintain or enhance water quality to exceed state standards, however water quality has never been reported in the Indicator Report.</t>
  </si>
  <si>
    <t>Since 2012 the policy of the community has been to maintain air quality to exceed state standards, however air quality has never been reported in the Indicator Report.</t>
  </si>
  <si>
    <t>"Preserve the ability of future generations to enjoy quality natural, scenic, and agricultural resources" (Chapter 1 Goal)</t>
  </si>
  <si>
    <t>Since 2012 the goal of the community has been to protect the ability of future generations to enjoy natural resources, however access to the preservation has never been measured or reported. Strategy 1.G.S.1 includes analysis of how to measure access to the ecosystem and whether that access is been preserved.</t>
  </si>
  <si>
    <t>Easements</t>
  </si>
  <si>
    <t>Subdivision</t>
  </si>
  <si>
    <t>Reported since 2013 with no methodology changes</t>
  </si>
  <si>
    <t>"At least 60% of future growth in Complete Neighborhoods" (Chapter 3 Goal)</t>
  </si>
  <si>
    <t>Count the net number of new units given a certificate of occupancy each year by location</t>
  </si>
  <si>
    <t>Divide new units in Complete Neighborhood or Rural area by total new units (see datasheet for unit counts)</t>
  </si>
  <si>
    <t>Units are counted as built at certification of occupancy</t>
  </si>
  <si>
    <t>Unit information is recorded at building permit review</t>
  </si>
  <si>
    <t>Stable and Transitional subareas within Rural Character Districts are included in the Complete Neighborhood total (Hoback 8.4, Alta Core 14.2, Targhee 14.3)</t>
  </si>
  <si>
    <t>First reported in 2015, no methodology changes since first report</t>
  </si>
  <si>
    <t>Count the remaining number of units allowed to be built under current zoning at year's end, by accounting for zoning changes and built units</t>
  </si>
  <si>
    <t>Start with the base number of potential units established through buildout calculations in 2015 and the existing unit inventory in 2012</t>
  </si>
  <si>
    <t>Subtract newly built residential units from the potential</t>
  </si>
  <si>
    <t>Add or Subtract units from the potential based on zoning changes</t>
  </si>
  <si>
    <t>The base potential used for the calculation is that as of December 31, 2011  there were 6,385 potential units in Rural Areas; and 3,576 potential units in Complete Neighborhoods</t>
  </si>
  <si>
    <t>Incentive units that can be accessed through the CN-PRD or Town Workforce Housing Bonus are included as potential units in Complete Neighborhoods even though they are not associated with a specific parcel because by definition they can only be built in Complete Neighborhoods</t>
  </si>
  <si>
    <t>The Complete Neighborhood equation for 2019 and beyond is adjusted to account for any use or creation of pooled incentive units by zone change, conservation, or incentive project approval.</t>
  </si>
  <si>
    <t>No net increase from 2012 (Policy 3.1.a)</t>
  </si>
  <si>
    <t>"Direct growth in Complete Neighborhoods to preserve habitat, scenery and open space" (Chapter 3 Goal)</t>
  </si>
  <si>
    <t>Subtract units and floor area eliminated by conservation, downzoning, and public land transfer</t>
  </si>
  <si>
    <t>Add units and floor area entitled by upzoning and incentives</t>
  </si>
  <si>
    <t>Calculate the net change in development potential based on zoning changes, conservation easements, incentives, and public land transfers</t>
  </si>
  <si>
    <t>The pool of units available for future incentives (or upzones) is equal to the negative number of residential units reported - once the number of residential units gets to zero, no incentive projects or upzones can be approved without causing a net increase.</t>
  </si>
  <si>
    <t>See also the BuildoutAssumptions sheet for additional discussion</t>
  </si>
  <si>
    <t>The 2015 Report included nonresidential and lodging for the first time which led to a series of hearings that clarified the intent of Policy 3.1.a as meaning no net increase for residential, lodging, or nonresidential</t>
  </si>
  <si>
    <t>Running Total since 2012</t>
  </si>
  <si>
    <t>Running Total since 1994</t>
  </si>
  <si>
    <t>Reported 2015-present. It replaced Percentage of Population served by START in 2015 Report based on ITP development</t>
  </si>
  <si>
    <t>Effective Population denominator for per capita ridership adjusted in 2021 to reflect new effective population calculation</t>
  </si>
  <si>
    <t>Travel time</t>
  </si>
  <si>
    <t>Total Population (ACS 5-Year Estimate, Table B01003)</t>
  </si>
  <si>
    <t>Per Capita Jobs (BEA)</t>
  </si>
  <si>
    <t>Wage Jobs (QCEW)</t>
  </si>
  <si>
    <t>Data is reported by the Chamber of Commerce any assumptions made are made by the Chamber and its contractor Destimetrics</t>
  </si>
  <si>
    <t>Report the occupancy and show the trend</t>
  </si>
  <si>
    <t>Occupancy greater than or equal to occupancy in 2012</t>
  </si>
  <si>
    <t>First reported in 2014, no methodology changes since reporting began</t>
  </si>
  <si>
    <t>"Develop a vibrant economy" (Chapter 6 Goal)</t>
  </si>
  <si>
    <t>"Develop a diverse economy" (Chapter 6 Goal)</t>
  </si>
  <si>
    <t>Report jobs by industry and look for any changes to the employment makeup</t>
  </si>
  <si>
    <t>The BEA dataset is used because it includes proprietor jobs, however it also includes all full-time and part-time jobs</t>
  </si>
  <si>
    <t>Future analysis of the BEA data against LEHD data by industry might indicate industries with an especially high proportion of proprietors and part-time jobs, which could be another way to present the data</t>
  </si>
  <si>
    <t>"Travel by walk, bike, carpool, or transit will be more convenient than travel by single-occupancy vehicle" (Chapter 7 Goal)</t>
  </si>
  <si>
    <t>Travel Time by Mode</t>
  </si>
  <si>
    <t>Compare travel time by various modes from point to point including any parking, waiting for the bus, etc.</t>
  </si>
  <si>
    <t>TBD (ITP Technical Update)</t>
  </si>
  <si>
    <t>Fewer than in 2012 (Policy 7.2.d)</t>
  </si>
  <si>
    <t xml:space="preserve">Wage Jobs </t>
  </si>
  <si>
    <t>"Timely, efficiently, and safely deliver quality services and facilities in a fiscally responsible and coordinated manner." (Chapter 8 Goal)</t>
  </si>
  <si>
    <t>TBD (8.1.S.1 and 8.1.S.2)</t>
  </si>
  <si>
    <t>Has always been an identified indicator and general goal, but has never been measured because LOS definitions for individual services have not been set</t>
  </si>
  <si>
    <t>Comprehensive Plan Implementation</t>
  </si>
  <si>
    <t>Implementation</t>
  </si>
  <si>
    <t>Is accurate to the date of the Indicator Report</t>
  </si>
  <si>
    <t>The 2017 Work Plan (and subsequently the 2018 Indicator Report) incorporated implementation of the ITP and HAP, which changed the organization of the information.</t>
  </si>
  <si>
    <t>Land Development Regulation Updates/Studies</t>
  </si>
  <si>
    <t>Task</t>
  </si>
  <si>
    <t>Strategies</t>
  </si>
  <si>
    <t>Housing Nexus Study</t>
  </si>
  <si>
    <t>Vegetation Mapping</t>
  </si>
  <si>
    <t>Joint LDR Restructure</t>
  </si>
  <si>
    <t>County Rural LDRs Updates</t>
  </si>
  <si>
    <t>Town District 2 and LO Zoning</t>
  </si>
  <si>
    <t>Focal Species Study</t>
  </si>
  <si>
    <t>Nonconformities LDRs Cleanup</t>
  </si>
  <si>
    <t>County Nuisance LDRs</t>
  </si>
  <si>
    <t>Town Adult Entertainment LDRs</t>
  </si>
  <si>
    <t>Exterior Lighting LDRs Update</t>
  </si>
  <si>
    <t>Town ARU Allowance</t>
  </si>
  <si>
    <t>Wildland Urban Interface LDRs</t>
  </si>
  <si>
    <t>2016 LDR Cleanup</t>
  </si>
  <si>
    <t>Housing Mitigation LDRs</t>
  </si>
  <si>
    <t>Town District 3-6 Zoning</t>
  </si>
  <si>
    <t>County Natural Resource LDRs</t>
  </si>
  <si>
    <t>Town Hillside LDRs</t>
  </si>
  <si>
    <t>Other LDR &amp; Zoning Amendments</t>
  </si>
  <si>
    <t>5.3.S.1</t>
  </si>
  <si>
    <t>1.1.S.1</t>
  </si>
  <si>
    <t>3.3.S.2, 3.3.S.3</t>
  </si>
  <si>
    <t>1.4.S.1, 1.4.S.2, 1.4.S.3, 3.1.S.1, 3.1.S.2, 3.3.S.2, 3.3.S.3</t>
  </si>
  <si>
    <t>4.1.S.1, 4.2.S.2, 4.2.S.4, 4.2.S.6, 4.4.S.3, 4.4.S.4</t>
  </si>
  <si>
    <t>1.1.S.2</t>
  </si>
  <si>
    <t>3.1.S.1, 3.2.S.2</t>
  </si>
  <si>
    <t>3.2.S.1</t>
  </si>
  <si>
    <t>1.3.S.2</t>
  </si>
  <si>
    <t>5.2.S.2</t>
  </si>
  <si>
    <t>3.4.S.2, 3.4.S.3</t>
  </si>
  <si>
    <t>5.1.S.1, 5.2.S.2, 5.3.S.2, 5.4.S.3, 5.4.S.4</t>
  </si>
  <si>
    <t>4.1.S.1, 4.1.S.2, 4.2.S.4, 4.3.S.1, 4.4.S.3, 5.2.S.1, 5.4.S.3, 5.4.S.4</t>
  </si>
  <si>
    <t>1.1.S.3, 1.1.S.4, 1.1.S.5, 1.1.S.6, 1.1.S.7, 1.2.S.1, 1.2.S.2</t>
  </si>
  <si>
    <t>3.4.S.1, 3.4.S.3</t>
  </si>
  <si>
    <t>Continuous</t>
  </si>
  <si>
    <t>Comprehensive Plan Administration</t>
  </si>
  <si>
    <t>2012 Work Plan</t>
  </si>
  <si>
    <t>2013 Indicator Report &amp; Work Plan</t>
  </si>
  <si>
    <t>Standardize Data Collection</t>
  </si>
  <si>
    <t>2014 Indicator Report &amp; Work Plan</t>
  </si>
  <si>
    <t>2015 Indicator Report &amp; Work Plan</t>
  </si>
  <si>
    <t>2016 Indicator Report &amp; Work Plan</t>
  </si>
  <si>
    <t>2017 Indicator Report &amp; Work Plan</t>
  </si>
  <si>
    <t>2018 Indicator Report &amp; Work Plan</t>
  </si>
  <si>
    <t>2019 Indicator Report &amp; Work Plan</t>
  </si>
  <si>
    <t>2019 Growth Management Program</t>
  </si>
  <si>
    <t>Joint Public Engagement</t>
  </si>
  <si>
    <t>Other Coordination</t>
  </si>
  <si>
    <t>Principle 9.2</t>
  </si>
  <si>
    <t>Policy 9.2.a</t>
  </si>
  <si>
    <t>Principle 9.1</t>
  </si>
  <si>
    <t>3.3.S.1</t>
  </si>
  <si>
    <t>Integrated Transportation Plan (ITP) Implementation</t>
  </si>
  <si>
    <t>Town Community Streets Plan</t>
  </si>
  <si>
    <t>Town District 3-6 Parking Study</t>
  </si>
  <si>
    <t>Joint Regional Traffic Model</t>
  </si>
  <si>
    <t>Wildlife Crossings Master Plan</t>
  </si>
  <si>
    <t>Restructure of TAC into RTPO</t>
  </si>
  <si>
    <t>START Funding</t>
  </si>
  <si>
    <t>Downtown Parking Study</t>
  </si>
  <si>
    <t>7.1.S.1, 7.1.S.4, 7.1.S.6, 7.1.S.8, 7.1.S.9</t>
  </si>
  <si>
    <t>7.2.S.1</t>
  </si>
  <si>
    <t>4.1.S.1, 4.1.S.2, 5.4.S.3, 7.3.S.1</t>
  </si>
  <si>
    <t>Items are organized in each category by start date not completion date, add a row when a new project is started (keep this as the last datasheet so links do not get broken when rows are added)</t>
  </si>
  <si>
    <t>Housing Action Plan Implementation</t>
  </si>
  <si>
    <t>Housing Action Plan (HAP)</t>
  </si>
  <si>
    <t>Housing Authority Restructure</t>
  </si>
  <si>
    <t>2016 Housing Supply Plan</t>
  </si>
  <si>
    <t>Housing Rules and Regulations</t>
  </si>
  <si>
    <t>2017 Housing Supply Plan</t>
  </si>
  <si>
    <t>2018 Housing Stock Portfolio</t>
  </si>
  <si>
    <t>Online Intake Form</t>
  </si>
  <si>
    <t>2018 Housing Supply Plan</t>
  </si>
  <si>
    <t>5.4.S.1, 5.4.S.2</t>
  </si>
  <si>
    <t>HAP: 1</t>
  </si>
  <si>
    <t>HAP: 2</t>
  </si>
  <si>
    <t>HAP: 3B</t>
  </si>
  <si>
    <t>HAP: 2F</t>
  </si>
  <si>
    <t>HAP: 2F, 3C, 4B</t>
  </si>
  <si>
    <t>2020 County LDR Cleanup</t>
  </si>
  <si>
    <t>2019 Town LDR Cleanup</t>
  </si>
  <si>
    <t>ITP Technical Update</t>
  </si>
  <si>
    <t>2019 Housing Supply Plan</t>
  </si>
  <si>
    <t>Update Employee Generation Nexus Study</t>
  </si>
  <si>
    <t>Provide Data to Others</t>
  </si>
  <si>
    <t>Policy 8.1.a</t>
  </si>
  <si>
    <t>Cumulative Impact Study</t>
  </si>
  <si>
    <t>1.1.S.3</t>
  </si>
  <si>
    <t>Greater Yellowstone Regional Plan</t>
  </si>
  <si>
    <t>Principle 3.5</t>
  </si>
  <si>
    <t>Effective Population (Subcategory of Annual Growth Rate Comparison)</t>
  </si>
  <si>
    <t>Population (Census Mid-Year Estimate)</t>
  </si>
  <si>
    <t>Annual Average is the average of all months in the year</t>
  </si>
  <si>
    <t>Seasonal Average is for June/July/August/September (Summer), December/January/February/March (Winter), April/May/October/November (Shoulder). The December included in the Winter average is from the previous year, for example Winter 2019 is December 2018 and January-March 2019.</t>
  </si>
  <si>
    <t>Conservation/Buildout/Subdivision Tracker</t>
  </si>
  <si>
    <t>LEHD All to Primary Ratio JH Jobs</t>
  </si>
  <si>
    <t>LEHD All to Primary Ratio JH Workers</t>
  </si>
  <si>
    <t>LEHD All Jobs by Workplace</t>
  </si>
  <si>
    <t>QCEW Annual Average</t>
  </si>
  <si>
    <t>Jobs per Worker</t>
  </si>
  <si>
    <t xml:space="preserve">Wage Jobs per Worker </t>
  </si>
  <si>
    <t>LAUS Annual to ACS Employment by Residence</t>
  </si>
  <si>
    <t>Comes from CPS adjusted to local by unemployment filings, measures the week of the 12th each month, available the next month, adjusted the following two months so final months after survey</t>
  </si>
  <si>
    <t>Relatively comparable, optimized for geography, but week of survey is not consistent, so the week of survey doesn't necessarily represent the "average" week of the year. Also a 5-Year estimate so big increases and decreases are slower to appear. Available in November of following year</t>
  </si>
  <si>
    <t>Not sure what happened here but there is no way the number of wage employees increased by 2,000 from 08-09 when the number of total employees dropped by 1,100 (LAUS). The imputation pegged to LAUS data syncs back up in 2015/2016 to a close enough extent that I went back to the data (2015 is probably a little high still, given the trend of the LEHD/LAUS ratio, but not enough to justify imputation)</t>
  </si>
  <si>
    <t>LAUS (Total)</t>
  </si>
  <si>
    <t>ACS (Total)</t>
  </si>
  <si>
    <t>Total Employed Residents</t>
  </si>
  <si>
    <t>Proprietor Jobs per Worker (implied by proprietor estimate)</t>
  </si>
  <si>
    <t>LEHD Wage Primary by Workplace</t>
  </si>
  <si>
    <t>ACS/LEHD</t>
  </si>
  <si>
    <t>what's going on here? This looks to be the wage earner number not including proprietors</t>
  </si>
  <si>
    <t>primary is used to count people instead of jobs</t>
  </si>
  <si>
    <t>Employee Surveys</t>
  </si>
  <si>
    <t>Summer 2014 Survey (Published in 2014 Greater Yellowstone Housing Needs Assessment)</t>
  </si>
  <si>
    <t>Summer 2005 Survey (Published in 2007 Teton County Housing Needs Assessment)</t>
  </si>
  <si>
    <t>ACS/Adjusted QCEW</t>
  </si>
  <si>
    <t>QCEW adjusted by LEHD All:Primary Ratio</t>
  </si>
  <si>
    <t>LEHD Imputation for 2002, 2003, and 2009-2014</t>
  </si>
  <si>
    <t>QCEW Annual Min</t>
  </si>
  <si>
    <t>Min to LEHD Ratio</t>
  </si>
  <si>
    <t>See BuildingPermitProcessing sheet for instructions on processing building permit data into the Indicator.accdb database and pulling the results for this section</t>
  </si>
  <si>
    <t>Effective Population (retired)</t>
  </si>
  <si>
    <t>From building permit and planning databases. The only accuracy questions are from early in the dataset before the building permit and net use change issues were refined.</t>
  </si>
  <si>
    <t>The most important piece for keeping this accurate is accounting for change of use even when a building permit is not required to the extent possible.</t>
  </si>
  <si>
    <t>Date Available</t>
  </si>
  <si>
    <t>Dec. for previous year</t>
  </si>
  <si>
    <t>Apr. for upcoming year</t>
  </si>
  <si>
    <t>Jan. for previous year</t>
  </si>
  <si>
    <t>Report</t>
  </si>
  <si>
    <t>2021-</t>
  </si>
  <si>
    <t>2013-</t>
  </si>
  <si>
    <t>2015-</t>
  </si>
  <si>
    <t>Chapter</t>
  </si>
  <si>
    <t>1,3</t>
  </si>
  <si>
    <t>Nov. for previous year</t>
  </si>
  <si>
    <t>Units</t>
  </si>
  <si>
    <t>DUs</t>
  </si>
  <si>
    <t>LUs</t>
  </si>
  <si>
    <t>sf</t>
  </si>
  <si>
    <t>ARUs</t>
  </si>
  <si>
    <t>5-6 months after quarter</t>
  </si>
  <si>
    <t>Reported quarterly, 5-6 months after quarter end (e.g. Q4 2019, first reported in June 2020)</t>
  </si>
  <si>
    <t>Data is preliminary until the Q1 report for the following year, which is typically in September (while QCEW adjustments are typically minimal, numbers for the previous year should be checked and revised to represent final numbers)</t>
  </si>
  <si>
    <t>Typically available in November for previous year</t>
  </si>
  <si>
    <t>Be aware that the numbers can get adjusted after they are first reported so be sure to back-check previous years' data when adding a new year's data (for example the mid-year population estimates for 2012-2018 were adjusted in 2020 and had to be revised).</t>
  </si>
  <si>
    <t>https://apps.bea.gov/iTable/iTable.cfm?reqid=70&amp;step=1&amp;isuri=1</t>
  </si>
  <si>
    <t>People</t>
  </si>
  <si>
    <t>$K (Current)</t>
  </si>
  <si>
    <t>$ (Current)</t>
  </si>
  <si>
    <t>Note that the BEA is adjusting for commuter income in row 42, but essentially saying that only 8% of income went to commuters in 2018 (while we estimate about 41% of employees commuted in 2018)</t>
  </si>
  <si>
    <t xml:space="preserve">Bureau of Labor Statistics (BLS) Quarterly Census of Employment and Wages (QCEW) </t>
  </si>
  <si>
    <t>https://www.bls.gov/cew/data.htm</t>
  </si>
  <si>
    <t>$K (Chained 2012)</t>
  </si>
  <si>
    <r>
      <t>%</t>
    </r>
    <r>
      <rPr>
        <sz val="11"/>
        <color theme="1"/>
        <rFont val="Calibri"/>
        <family val="2"/>
      </rPr>
      <t>∆ (Annual)</t>
    </r>
  </si>
  <si>
    <t xml:space="preserve">Bureau of Economic Analysis (BEA Tables CAGDP1 Gross Domestic Product summary and CAGDP11 Contributions to percent change in real GDP) </t>
  </si>
  <si>
    <t xml:space="preserve">Bureau of Economic Analysis (BEA Table CAEMP25N Total Full-Time and Part-Time Employment) </t>
  </si>
  <si>
    <t>BEA does adjust their data so be sure to check prior year data for updates when adding an new year's data</t>
  </si>
  <si>
    <t>2 months after month</t>
  </si>
  <si>
    <t xml:space="preserve">Bureau of Labor Statistics (BLS) Local Area Unemployment Statistics (LAUS) </t>
  </si>
  <si>
    <t>https://data.bls.gov/PDQWeb/la</t>
  </si>
  <si>
    <t>A month's data is typically available 2 months later</t>
  </si>
  <si>
    <t>The data for 2010-2019 were adjusted by the BLS in April 2020. The adjustment only resulted in minor changes to the 2015-2019 numbers and no change to the 2010-2014 numbers.</t>
  </si>
  <si>
    <t>https://onthemap.ces.census.gov/</t>
  </si>
  <si>
    <t>Typically September 2-years later (e.g. Sept. 2020 for 2018 data)</t>
  </si>
  <si>
    <t xml:space="preserve">All Jobs in Teton County compared to QCEW data shows some jobs as unaccounted for </t>
  </si>
  <si>
    <t>Potential Rural Area Residential Units</t>
  </si>
  <si>
    <t>Potential Complete Neighborhood Residential Units</t>
  </si>
  <si>
    <t>The same logic applies to nonresidential floor area and lodging units; however, there are no incentives to encourage either of those types of development. The reason that they are slightly over zero is that the Town and County found the relatively slight increases during the Town rezones (District 2 and Districts 3-6) to be within the spirit of Policy 3.1.a  because they were necessary to remedy split zoning and nonconformities.</t>
  </si>
  <si>
    <t>Data needs to be back calculated to analyze trend and success of Housing Action Plan and updated zoning versus previous eras</t>
  </si>
  <si>
    <t>Workforce</t>
  </si>
  <si>
    <t>Affordable</t>
  </si>
  <si>
    <t>Employer</t>
  </si>
  <si>
    <t>Report the units approved as a projection of what is likely to be built in the future</t>
  </si>
  <si>
    <t>Live/Work</t>
  </si>
  <si>
    <t>Total Pipeline</t>
  </si>
  <si>
    <t>Sketch Plan Approval</t>
  </si>
  <si>
    <t>0-50</t>
  </si>
  <si>
    <t>50-80</t>
  </si>
  <si>
    <t>80-120</t>
  </si>
  <si>
    <t>Development Plan Approval</t>
  </si>
  <si>
    <t>Building Permit Approval</t>
  </si>
  <si>
    <t>Market Rental</t>
  </si>
  <si>
    <t>Pre-Application Conference</t>
  </si>
  <si>
    <t>Market Ownership</t>
  </si>
  <si>
    <t>The data on restricted units is tracked by the Housing Department through their PRC review</t>
  </si>
  <si>
    <t>Housing Department Tracking</t>
  </si>
  <si>
    <t>Rental Total (Planning)</t>
  </si>
  <si>
    <t>Ownership Total (Planning)</t>
  </si>
  <si>
    <t>Rental Total (Housing)</t>
  </si>
  <si>
    <t>Ownership Total (Housing)</t>
  </si>
  <si>
    <t>First reported in 2021</t>
  </si>
  <si>
    <t>CDs 1-6</t>
  </si>
  <si>
    <t>Residential Units (Annual Change)</t>
  </si>
  <si>
    <t>Nonresidential Floor Area (Annual Change)</t>
  </si>
  <si>
    <t>Residential Units (Year End Count)</t>
  </si>
  <si>
    <t>Nonresidential Floor Area (Year End Count)</t>
  </si>
  <si>
    <t>Residential (Annual Change)</t>
  </si>
  <si>
    <t>Lodging (Annual Change)</t>
  </si>
  <si>
    <t>Nonresidential, Nonlodging (Annual Change)</t>
  </si>
  <si>
    <t>Residential (Yearend Count)</t>
  </si>
  <si>
    <t>Lodging (Yearend Count)</t>
  </si>
  <si>
    <t>Nonresidential, Nonlodging (Yearend Count)</t>
  </si>
  <si>
    <t>A needed future adjustment is to separate the lodging types, currently conventional, short-term rental, campsites, and dude ranch units are all tracked in a single row (except that they are broken up in the effective population calculation based on the existing development work)</t>
  </si>
  <si>
    <t>Percentage of Residential Units in Town</t>
  </si>
  <si>
    <t>"The Town of Jackson will be the primary location for jobs, housing, shopping, educational and cultural activities" (Chapter 4 Goal)</t>
  </si>
  <si>
    <t>Track the percentage of wage jobs, residential units, retail sales, educational floor area, and cultural activity in Town</t>
  </si>
  <si>
    <t>Town amount divided by Town/County total</t>
  </si>
  <si>
    <t>Residential units are used because the data is more recent and available further in the past. However, occupied housing unit data from the ACS is also reported for comparison and might be the better measure in the future of "housing" versus "houses". Of course, the other measure of "housing" percentage is just population percentage.</t>
  </si>
  <si>
    <t>Percentage of Occupied Housing Units in Town</t>
  </si>
  <si>
    <t>Percentage of Population in Town</t>
  </si>
  <si>
    <r>
      <t xml:space="preserve">Work Area Profile for </t>
    </r>
    <r>
      <rPr>
        <u/>
        <sz val="11"/>
        <color rgb="FFC00000"/>
        <rFont val="Calibri"/>
        <family val="2"/>
        <scheme val="minor"/>
      </rPr>
      <t>All Jobs</t>
    </r>
  </si>
  <si>
    <t>Percentage of Wage Jobs in Town</t>
  </si>
  <si>
    <t>LEHD is the only source of jobs data at the Town level</t>
  </si>
  <si>
    <t>Work Area Profile (LEHD)</t>
  </si>
  <si>
    <t>Percentage of Shopping in Town</t>
  </si>
  <si>
    <t>Percentage of Jobs, Housing, Shopping, Education, and Cultural Activity in Town</t>
  </si>
  <si>
    <t>Destination (LEHD) (Residence-Workplace Relationship)</t>
  </si>
  <si>
    <t xml:space="preserve">Destination Analysis: Longitudinal Employment-Housing Dynamics (LEHD) </t>
  </si>
  <si>
    <t xml:space="preserve">Work Area Profile Analysis: Longitudinal Employment-Housing Dynamics (LEHD) </t>
  </si>
  <si>
    <t>Agriculture, Forestry, Fishing and Hunting</t>
  </si>
  <si>
    <t>Mining, Quarrying, and Oil and Gas Extraction</t>
  </si>
  <si>
    <t>Wholesale Trade</t>
  </si>
  <si>
    <t>Retail Trade</t>
  </si>
  <si>
    <t>Transportation and Warehousing</t>
  </si>
  <si>
    <t>Finance and Insurance</t>
  </si>
  <si>
    <t>Real Estate and Rental and Leasing</t>
  </si>
  <si>
    <t>Professional, Scientific, and Technical Services</t>
  </si>
  <si>
    <t>Management of Companies and Enterprises</t>
  </si>
  <si>
    <t>Administration &amp; Support, Waste Management and Remediation</t>
  </si>
  <si>
    <t>Educational Services</t>
  </si>
  <si>
    <t>Health Care and Social Assistance</t>
  </si>
  <si>
    <t>Arts, Entertainment, and Recreation</t>
  </si>
  <si>
    <t>Accommodation and Food Services</t>
  </si>
  <si>
    <t>Other Services (excluding Public Administration)</t>
  </si>
  <si>
    <t>Public Administration</t>
  </si>
  <si>
    <t>All Jobs in Teton County compared to QCEW data shows some jobs as unaccounted for, however the purpose of the dataset is to understand geographic relationships for smaller geographic regions (such as Census places and County subdivisions)</t>
  </si>
  <si>
    <t>Work Area Profile</t>
  </si>
  <si>
    <t>Destinations (Residence-Workplace)</t>
  </si>
  <si>
    <t>Sep. for 2-years prior</t>
  </si>
  <si>
    <t>jobs</t>
  </si>
  <si>
    <t>people*</t>
  </si>
  <si>
    <t>Buildout Assumptions</t>
  </si>
  <si>
    <t>Reported 2015-present, added as part of ITP monitoring</t>
  </si>
  <si>
    <t>Project planning/construction benchmarks established for each corridor</t>
  </si>
  <si>
    <t>Track the average summer weekday traffic on each major corridor against the project design and construction benchmarks identified in the ITP</t>
  </si>
  <si>
    <t>Monthly Average Weekday Traffic (MAWT)</t>
  </si>
  <si>
    <t>Summer weekday traffic is used to capture the peak season, but not design to the peak of the peak</t>
  </si>
  <si>
    <t>The benchmarks are established based on WYDOT criteria in order for local planning to be proactive rather than reactive</t>
  </si>
  <si>
    <t>Construction Benchmark</t>
  </si>
  <si>
    <t>Preliminary Engineering Benchmark</t>
  </si>
  <si>
    <t>Baseline Forecast</t>
  </si>
  <si>
    <t>Average the MAWT for June-September</t>
  </si>
  <si>
    <t>Highway 22 Corridor (The "Y" to Moose-Wilson)</t>
  </si>
  <si>
    <t>Moose-Wilson Corridor</t>
  </si>
  <si>
    <t>North Highway 89 Corridor</t>
  </si>
  <si>
    <t>% of all trips</t>
  </si>
  <si>
    <t>% of commutes</t>
  </si>
  <si>
    <t>Vehicles per Day</t>
  </si>
  <si>
    <t>ITP Scenario</t>
  </si>
  <si>
    <t>Prelim to Construction (for chart)</t>
  </si>
  <si>
    <t>Max (for chart)</t>
  </si>
  <si>
    <t>Actual Summer Average MAWT</t>
  </si>
  <si>
    <t>NEPA/PEL Benchmark</t>
  </si>
  <si>
    <t>The greyed out rows are for the sake of the stacked area background that displays the benchmarks</t>
  </si>
  <si>
    <t>K-12</t>
  </si>
  <si>
    <t>ECE</t>
  </si>
  <si>
    <t>Education Facilities</t>
  </si>
  <si>
    <t>Floor Area</t>
  </si>
  <si>
    <t>Jackson Elementary School</t>
  </si>
  <si>
    <t>Jackson Hole Middle School</t>
  </si>
  <si>
    <t>Colter Elementary School</t>
  </si>
  <si>
    <t>Jackson Hole High School</t>
  </si>
  <si>
    <t>Munger Mountain Elementary School</t>
  </si>
  <si>
    <t>Wilson Elementary School</t>
  </si>
  <si>
    <t>Alta Elementary School</t>
  </si>
  <si>
    <t>Kelly Elementary School</t>
  </si>
  <si>
    <t>Moran Elementary School</t>
  </si>
  <si>
    <t>Summit High School</t>
  </si>
  <si>
    <t>Jackson Hole Community School</t>
  </si>
  <si>
    <t>Jackson Hole Bible School</t>
  </si>
  <si>
    <t>FAR</t>
  </si>
  <si>
    <t>% Res</t>
  </si>
  <si>
    <t>% Ldg</t>
  </si>
  <si>
    <t>% STR</t>
  </si>
  <si>
    <t>% NonRes, NonLdg</t>
  </si>
  <si>
    <t>DU size (sf)</t>
  </si>
  <si>
    <t>LU size (sf)</t>
  </si>
  <si>
    <t>STR size (sf)</t>
  </si>
  <si>
    <t>TS</t>
  </si>
  <si>
    <t>TS/LO</t>
  </si>
  <si>
    <t>UC/LO</t>
  </si>
  <si>
    <t>CR1</t>
  </si>
  <si>
    <t>CR1/LO</t>
  </si>
  <si>
    <t>CR2</t>
  </si>
  <si>
    <t>CR2/LO</t>
  </si>
  <si>
    <t>CR3</t>
  </si>
  <si>
    <t>OR</t>
  </si>
  <si>
    <t>BP</t>
  </si>
  <si>
    <t>MHP</t>
  </si>
  <si>
    <t>NH1</t>
  </si>
  <si>
    <t>NM2</t>
  </si>
  <si>
    <t>NM1</t>
  </si>
  <si>
    <t>NL5</t>
  </si>
  <si>
    <t>NL4</t>
  </si>
  <si>
    <t>NL3</t>
  </si>
  <si>
    <t>NL2</t>
  </si>
  <si>
    <t>NL1</t>
  </si>
  <si>
    <t>P</t>
  </si>
  <si>
    <t>PUD</t>
  </si>
  <si>
    <t>AC</t>
  </si>
  <si>
    <t>WC</t>
  </si>
  <si>
    <t>OP</t>
  </si>
  <si>
    <t>BC</t>
  </si>
  <si>
    <t>S</t>
  </si>
  <si>
    <t>The below buildout assumptions are used to calculate the net change in buildout from a rezone, conservation easement, or public land transfer.</t>
  </si>
  <si>
    <t>Short-term rental units are counted a lodging units, but have different size assuptions.</t>
  </si>
  <si>
    <t>Conservation Easement</t>
  </si>
  <si>
    <t>DU/ acre</t>
  </si>
  <si>
    <t>R-ToJ</t>
  </si>
  <si>
    <t>See the Resort Master Plan</t>
  </si>
  <si>
    <t>PR</t>
  </si>
  <si>
    <t>See the conservation easement</t>
  </si>
  <si>
    <t>See the PUD approval (as of 2018 there are no PUD tools in the Town or County)</t>
  </si>
  <si>
    <t>No potential calculated due to lack of FAR or density limitation</t>
  </si>
  <si>
    <t>No potential calculated due to lack of FAR or density limitation, zoning allows continuation not expansion</t>
  </si>
  <si>
    <t>Both</t>
  </si>
  <si>
    <t>If the FAR column is blank only residential use is allowed and the buildout should be calculated using the DU/acre (density) column</t>
  </si>
  <si>
    <t>Bonus Units added through a Div. 7.8 Exemption , CN-PRD, or Legacy FAR Bonus are added at the time they are approved based on the actual approval.</t>
  </si>
  <si>
    <t>ARUs associated with nonresidential development are considered part of the residential percentage</t>
  </si>
  <si>
    <t>ARUs associated with residential development are not counted as residential units (they are assumed to be guesthouses most of the time) and therefore not calculated</t>
  </si>
  <si>
    <t xml:space="preserve">If the FAR column is populated: </t>
  </si>
  <si>
    <t xml:space="preserve">1) calculated the allowed floor area, </t>
  </si>
  <si>
    <t xml:space="preserve">2) allocate it to the uses based on the proportions provided, </t>
  </si>
  <si>
    <t>3) calculate number of units based on the assumed unit size</t>
  </si>
  <si>
    <t>See the individual site, potential is based on existing development</t>
  </si>
  <si>
    <t>The percentages add up to more than 100% because residential units in the BP are most often built as ARUs or deed-restricted units exempt from FAR</t>
  </si>
  <si>
    <t>The Town FAR of .41 is used in the County because multilevel industrial use is rarely functional and therefore the 0.6 FAR in the County is almost never reached</t>
  </si>
  <si>
    <t>If both the FAR column and DU/acre columns are populated do both calcutions, one will give the nonresidential number, the other the residential (this only occurs in the County)</t>
  </si>
  <si>
    <t>Existing development assumed to continue, no expansion assumed possible</t>
  </si>
  <si>
    <t>Additional analysis is needed to calculate overall County potential in order to properly account for condominiums, townhomes, common areas, etc.</t>
  </si>
  <si>
    <t>PRD DU/acre</t>
  </si>
  <si>
    <t>PRD min (ac)</t>
  </si>
  <si>
    <t>PRD Utilization</t>
  </si>
  <si>
    <t>The BP zone has 2 peculiarities</t>
  </si>
  <si>
    <t>PRD Assumptions:</t>
  </si>
  <si>
    <t>These assumptions account for use of the R-PRD, units added via CN-PRD are counted at approval</t>
  </si>
  <si>
    <t>The utilization factor can be read as 60% of owners will use the PRD or owners will use 60% of the allowance, either way reduction is applied to all properties uniformly understanding that some will do max PRDs, some will never do a PRD, and some might do something inbetween</t>
  </si>
  <si>
    <t>The utilization factor is less for the R2 because R2 properties are smaller and more likely to use the Floor Area Option incentive if using an incentive</t>
  </si>
  <si>
    <t>The Floor Area Option does not factor into net buildout calculation because it adds residential floor area and residential ARUs, neither of which are counted</t>
  </si>
  <si>
    <t>the use mixes are rough estimates based on history and loose projection - they could be tightened up, but they are not terrible and doing so would invlove deciding whether to recaulate past tracking.</t>
  </si>
  <si>
    <t>To calculate the buildout difference, enter the before and after allownances, and the difference will calculate</t>
  </si>
  <si>
    <t>It is important to use the proper form from the Key so that the data pulls correctly</t>
  </si>
  <si>
    <t>Source data is accurate, buildout difference is based on assumptions but is apples to apples</t>
  </si>
  <si>
    <t>Current, typically querried for past year</t>
  </si>
  <si>
    <t>Reflects Work Plan tasks that have begun. Percent complete each year is an estimate made by the project manager. A month indicate the completion month in that year.</t>
  </si>
  <si>
    <t>Landings</t>
  </si>
  <si>
    <t>Planes</t>
  </si>
  <si>
    <t>People Arriving</t>
  </si>
  <si>
    <t>Enplanements are only arrivals, not departures</t>
  </si>
  <si>
    <t>LVE Electricity and Gas Load</t>
  </si>
  <si>
    <t>Monthly Average Weekday Daily Traffic</t>
  </si>
  <si>
    <t>Each measure of energy consumption is multiplied by a GHG emissions multiplier</t>
  </si>
  <si>
    <t>LEHD Primary by Residence Reported</t>
  </si>
  <si>
    <t>Seasonal Resident Wage Earners</t>
  </si>
  <si>
    <t>Wage - LEHD Primary by Residence (Out-Commuters + Local Wage Earners)</t>
  </si>
  <si>
    <t>BEA non-proprietor jobs divided by estimated wage earners</t>
  </si>
  <si>
    <t>jobs/worker</t>
  </si>
  <si>
    <t>Resident Workers</t>
  </si>
  <si>
    <t>Employees by Workplace</t>
  </si>
  <si>
    <t xml:space="preserve">Calculation methodology updated in 2021, but old methodologies still reported for reference. </t>
  </si>
  <si>
    <t>"At least 65% of those employed locally live locally" (Chapter 5 Goal)</t>
  </si>
  <si>
    <t>Combine three Federal datasets (monthly local job counts, annual workplace/residence relationships, monthly local employment) to estimate monthly commuters</t>
  </si>
  <si>
    <t>Rows with a green cell to their left include projections for the most current year to compensate for data lag, the data in these rows will update once or twice depending on the lag (for example the 2020 number reported in 2021 will change in the 2022 report and change again in the 2023 report as additional LEHD data becomes available)</t>
  </si>
  <si>
    <t>Second, calculate out-commuters by multiplying the out-commute percentage reported in the LEHD by the correctedLEHD Primary by Residence number</t>
  </si>
  <si>
    <t>Note that while the reported estimate is below each of the survey points, each survey was conducted in mid-Summer at peak employment. If you compare the monthly percentage for July or August to the estimate it is much closer.</t>
  </si>
  <si>
    <t>Assumed Occupants</t>
  </si>
  <si>
    <t>For rent over 5%</t>
  </si>
  <si>
    <t>Estimated monthly vacation rentals</t>
  </si>
  <si>
    <t>Household and Family Size</t>
  </si>
  <si>
    <t>ACS (S1101)</t>
  </si>
  <si>
    <t>Households and Families</t>
  </si>
  <si>
    <t>Table S1101, American Community Survey (ACS) 1-Year Estimate https://data.census.gov/cedsci/advanced</t>
  </si>
  <si>
    <t>Better than other ACS data because it is national and 1-year</t>
  </si>
  <si>
    <t>Lags a year (typically release in Nov/Dec of following year), only goes back to 2010</t>
  </si>
  <si>
    <t>None</t>
  </si>
  <si>
    <t>Average household size</t>
  </si>
  <si>
    <t>United States</t>
  </si>
  <si>
    <t>Average family size</t>
  </si>
  <si>
    <t>people</t>
  </si>
  <si>
    <t>Reported since 2013, methodology updated as part of 2020 GMP Update to provide monthly numbers and adjust commuters, seasonal workers, and 2nd homeowners</t>
  </si>
  <si>
    <t>"Develop a sustainable economy" (Chapter 6 Goal)</t>
  </si>
  <si>
    <t>Personal Income (Mid-Year Population)</t>
  </si>
  <si>
    <t>Local Workforce Indicator (Commuters, Seasonal Workers)</t>
  </si>
  <si>
    <t>Households and Families (US Average Family Size)</t>
  </si>
  <si>
    <t>Select Housing Characteristics (Second Homes)</t>
  </si>
  <si>
    <t>Growth by Use (Lodging Units)</t>
  </si>
  <si>
    <t>YNP Overnight Visitors</t>
  </si>
  <si>
    <t>See the Local Workforce Indicator for assumptions and adjustments related to estimated commuters and seasonal workers.</t>
  </si>
  <si>
    <t>The lodging occupancy rate is used for all overnight and seasonal units because it is the best available metric for likelihood of occupancy of seasonal units</t>
  </si>
  <si>
    <t>The estimate does not include an estimate of backcountry campers in BTNF or CTNF</t>
  </si>
  <si>
    <t>The commuter and seasonal resident/worker components are pulled from the local workforce calculation indicator, see that indicator for their respective equations</t>
  </si>
  <si>
    <t>The GHG emissions multiplier is adjusted each year to represent an "efficiency factor" to account for less emissions per consumption over time</t>
  </si>
  <si>
    <t>All components of GHG emissions reported beginning in 2021, prior to 2021 only electricity use reported. From 2013-2016, total electricity use and number of LVE meters were reported; from 2017-2020 electricity use and electricity use per capita were reported.</t>
  </si>
  <si>
    <t>"Emit fewer greenhouse gases than we did in 2012." (Chapter 2 Goal)</t>
  </si>
  <si>
    <t>Robb Sgroi, TCD, going to send information on available data</t>
  </si>
  <si>
    <t>Carlin Girard, TCD, has provided a list of available datasets, need to discuss which is most appropriate</t>
  </si>
  <si>
    <t>First reported in Indicator Report in 2021, reported in the Housing Supply Plan since 2017</t>
  </si>
  <si>
    <t>"Direct growth into Complete Neighborhoods to provide workforce housing opportunities" (Chapter 3 Goal)</t>
  </si>
  <si>
    <t>% of DUs</t>
  </si>
  <si>
    <t>kWh</t>
  </si>
  <si>
    <t>mi</t>
  </si>
  <si>
    <t>mi/vehicle</t>
  </si>
  <si>
    <t>tons CO2e</t>
  </si>
  <si>
    <t>tons CO2e/kWh</t>
  </si>
  <si>
    <t>therms</t>
  </si>
  <si>
    <t>tons CO2e/therms</t>
  </si>
  <si>
    <t>tons CO2e/mi</t>
  </si>
  <si>
    <t>tons CO2e/person</t>
  </si>
  <si>
    <t>person</t>
  </si>
  <si>
    <t>ratio</t>
  </si>
  <si>
    <t>The Other Emissions category is calculated as a ratio to the other emissions categories, benchmarked to the YTCC studies</t>
  </si>
  <si>
    <t>tons CO2e/emplaned person</t>
  </si>
  <si>
    <t>Restricted Affordable Units</t>
  </si>
  <si>
    <t>Restricted Workforce Units</t>
  </si>
  <si>
    <t>Market Rental Units</t>
  </si>
  <si>
    <t>Market Ownership Units</t>
  </si>
  <si>
    <t>Percent Restricted or Rental</t>
  </si>
  <si>
    <t>% Dus</t>
  </si>
  <si>
    <t>% DUs</t>
  </si>
  <si>
    <t>Report information compiled by the Housing Department from PRC review plus building permit information for detached single family units with building permits.</t>
  </si>
  <si>
    <t>The data on market ownership and rental units comes from the Housing Department's data, plus the annual building permit data.</t>
  </si>
  <si>
    <t>As long as the sum of rental units an guesthouses in the building permit data is greater than the Housing Department's reported market rentals with building permit approval the Housing Department's number is used, otherwise market rentals at building permit is assumed to be zero. The pipeline is an estimate so this slight inaccuracy is not a concern as long as the numbers are not relied on for too much precision.</t>
  </si>
  <si>
    <t>The number of market ownership units at building permit is calculated by subtracting the number of restricted units at building permit from the total number of DSFD and ASFD units with building permit. This is where all of the detached single family units get added to the pipeline total.</t>
  </si>
  <si>
    <t>Percent of Potential in Complete Neighborhoods</t>
  </si>
  <si>
    <t>TBD for Shopping and Cultural Activity</t>
  </si>
  <si>
    <t>% persons</t>
  </si>
  <si>
    <t>% people</t>
  </si>
  <si>
    <t>people/DU</t>
  </si>
  <si>
    <t>people/LU</t>
  </si>
  <si>
    <t>% LUs</t>
  </si>
  <si>
    <t>days</t>
  </si>
  <si>
    <t>% LUs occupied</t>
  </si>
  <si>
    <t>For per capita rides per month, divide the monthly rides by monthly effective population, then average monthly rides for season</t>
  </si>
  <si>
    <t>rides</t>
  </si>
  <si>
    <t>rides/person</t>
  </si>
  <si>
    <t>"Monitor and implement our vision annually." (Principle 9.2)</t>
  </si>
  <si>
    <t>There is no charting or manipulation of the dataset, just refer to the dataset directly</t>
  </si>
  <si>
    <t>Total Housing Units</t>
  </si>
  <si>
    <t>Prior to 2021, the starting point for the calculation was the ACS number of units, however this confused readers looking at other indicators. With the adjustment to vacancy assumptions in 2021, and to clear up the confusion, the total residential units is now the base point. For reference and explanation, the Town and County count of residential units is roughly equal to the ACS count, minus Yellowstone, minus Short-Term Rental (like Aspens Condos and Spring Creek units) and Dude Ranch cabins, minus guesthouses.</t>
  </si>
  <si>
    <t>Occupied Units (ACS)</t>
  </si>
  <si>
    <t>% Ownership</t>
  </si>
  <si>
    <t>% Rental</t>
  </si>
  <si>
    <t>2013 report included similar pie chart from 2009 TCHA research</t>
  </si>
  <si>
    <t>2014 report estimated percent workforce housing by backing vacant housing and housing occupied by householders over 65 from total housing number</t>
  </si>
  <si>
    <t>Methodology updated in 2021 with updates to Effective Population</t>
  </si>
  <si>
    <t>Apply ACS occupancy data to Town/County data on units and restrictions to categorize unit occupancy</t>
  </si>
  <si>
    <t>Subtract occupied units (ACS) from Total Housing Units (Town/County) to get Vacant Units</t>
  </si>
  <si>
    <t>Subtract households with earnings (ACS) from occupied units to get Units Occupied by Nonworkforce</t>
  </si>
  <si>
    <t>It is assumed that units occupied by the nonworkforce have the same tenure as units occupied by the workforce because there is no data to adjust otherwise</t>
  </si>
  <si>
    <t>The number of deed restricted and LDR restricted units is provided by the Housing Department</t>
  </si>
  <si>
    <t>To get the number of market workforce rental units, subtract the number of restricted rental units from the number of households with earnings multiplied by the percentage of occupied units that are rental</t>
  </si>
  <si>
    <t>To get the number of market workforce ownership units, subtract the number of restricted ownership units from the number of households with earnings multiplied by the percentage of occupied units that are owner occupied</t>
  </si>
  <si>
    <t>The percentage of units occupied by the workforce is the sum of the workforce units divided by the total housing units</t>
  </si>
  <si>
    <t>Reported 2016-2020, modified with 2020 GMP Update to include all energy consumption and GHG sources</t>
  </si>
  <si>
    <t xml:space="preserve">History: </t>
  </si>
  <si>
    <t>2015-2016 various annual growth rates reported</t>
  </si>
  <si>
    <t>2017-2020 various average annual growth rates since 2012 reported</t>
  </si>
  <si>
    <t>"Develop a sustainable, stable economy." (Chapter 6 Goal)</t>
  </si>
  <si>
    <t>Growth Rate Comparison (Jobs per Capita, Income per Capita)</t>
  </si>
  <si>
    <t>Food</t>
  </si>
  <si>
    <t>Taxes</t>
  </si>
  <si>
    <t>Healthcare</t>
  </si>
  <si>
    <t>Median Income</t>
  </si>
  <si>
    <t>Fair Market Rent</t>
  </si>
  <si>
    <t>Fair Market Rent (HUD)</t>
  </si>
  <si>
    <t>HUD Fair Market Rent</t>
  </si>
  <si>
    <t>Efficiency</t>
  </si>
  <si>
    <t>One-Bedroom</t>
  </si>
  <si>
    <t>Two-Bedroom</t>
  </si>
  <si>
    <t>Three-Bedroom</t>
  </si>
  <si>
    <t>Four-Bedroom</t>
  </si>
  <si>
    <t>US Department of Housing and Urban Development (HUD) https://www.huduser.gov/portal/datasets/fmr.html#2020</t>
  </si>
  <si>
    <t>Median Home Price/Median Income</t>
  </si>
  <si>
    <t>Annual Fair Market Rent/Median Income</t>
  </si>
  <si>
    <t>Cost of Home Purchase</t>
  </si>
  <si>
    <t>Cost of Rent</t>
  </si>
  <si>
    <t>2002-2008</t>
  </si>
  <si>
    <t>2002-2008 (2002 Base) Real-Estate Boom basically from the start of our data until the Recession - also represents the time period that informed calls to update the Comp Plan, which began in 2007</t>
  </si>
  <si>
    <t>2008-2012</t>
  </si>
  <si>
    <t>2009-2012 (2008 Base) 2009 - 2012 was the Great Recession (Real GDP increased in 2012 ending the Recession, but did not recover to 2008 levels until 2013)</t>
  </si>
  <si>
    <t>2012-2019</t>
  </si>
  <si>
    <t>2019-? (2019 Base) COVID and Post-COVID</t>
  </si>
  <si>
    <t>Compare the average annual growth rates of physical development, population, economic production, and cost of living</t>
  </si>
  <si>
    <t>For each metric, for each period, divide the end value by the base value and subtract 1 to calculate the percent change, then divide the percent change by the number of years in the period to calculate the average annual change</t>
  </si>
  <si>
    <t>Average annual growth rate is reported instead of compound annual growth rate so as not to imply compound growth (although there is little difference in most cases)</t>
  </si>
  <si>
    <t>See effective population calculator below for effective population assumptions.</t>
  </si>
  <si>
    <t>Reported median income is from the ACS when available, and from HUD when ACS data is not available, this results in one adjustment to the data the year after it is reported</t>
  </si>
  <si>
    <t>Fair market rent is used because it is consistently available, however it is a projection rather than a report and is the 40th percentile NOT median. The 40th percentile definition is important so as not to inaccurately discuss the affordability of rent (defined as 30% or less of income) based on FMR. The Housing Department began compiling rent data in 2020 that may be a replacement for FMR in the future</t>
  </si>
  <si>
    <t>Housing cost, sales and rent, are calculated relative to median income (wages) so an increase in housing cost means that housing prices are growing faster than wages. In other words, sustainable economic development would have a 0% growth in housing cost (as well as other costs of living) because wages would keep up with prices</t>
  </si>
  <si>
    <t>Housing cost is a significant portion of cost of living, but other components need to be tracked as well. Cost of living calculators typically include housing, transportation, healthcare, childcare, food, and taxes. A more complete cost of living calculator should be built out in the future.</t>
  </si>
  <si>
    <t>VMT needs to be recalculated to match the Cambridge Systematics traffic model output. The current estimate reflects the Fehr and Peers model output used in the ITP.</t>
  </si>
  <si>
    <t>Since 1994 the community has discussed housing affordability in terms of median sales price. However cost of living calculators typically look at rent cost.</t>
  </si>
  <si>
    <t>Reported VMT is the annual data unless the annual data is not yet available, in which case it is an estimate based on the monthly weekday data collected for the ITP benchmarks (the estimate is very close to the actual for past years)</t>
  </si>
  <si>
    <t>Per Capita Jobs is listed in the Comprehensive Plan as one of the indicators. It is useful for explaining/comparing our economy to outside audiences, but conflates jobs/worker and commuting in a way that is parsed more precisely by other indicators so it is not included in the chart.</t>
  </si>
  <si>
    <t>2019-2020</t>
  </si>
  <si>
    <t>2012-2013</t>
  </si>
  <si>
    <t>2012-2014</t>
  </si>
  <si>
    <t>2012-2015</t>
  </si>
  <si>
    <t>2012-2016</t>
  </si>
  <si>
    <t>2012-2017</t>
  </si>
  <si>
    <t>2012-2018</t>
  </si>
  <si>
    <t>2008-2009</t>
  </si>
  <si>
    <t>2008-2010</t>
  </si>
  <si>
    <t>2008-2011</t>
  </si>
  <si>
    <t>2002-2003</t>
  </si>
  <si>
    <t>2002-2004</t>
  </si>
  <si>
    <t>2002-2005</t>
  </si>
  <si>
    <t>2002-2006</t>
  </si>
  <si>
    <t>2002-2007</t>
  </si>
  <si>
    <t>Housing Affordability (Retired)</t>
  </si>
  <si>
    <t>Reported 2013-2020, incorporated into Cost of Living as part of 2020 GMP Update based upon owner-occupied housing cost only represented one portion of cost of living</t>
  </si>
  <si>
    <t>The cost to purchase a home relative to median income is an important historical number that has been reported back to the 80s in past reports</t>
  </si>
  <si>
    <t>Single Family Home Price</t>
  </si>
  <si>
    <t>Annual Growth Rate Comparison (Cost of Home Purchase)</t>
  </si>
  <si>
    <t>Annual Growth Rate Comparison (Cost of Home Purchase/Rent)</t>
  </si>
  <si>
    <t>Annual Growth Rate Comparison (Cost of Rent)</t>
  </si>
  <si>
    <t>In 2013 only the Single-Family home price was reported, the overall price was added for 2014-2020</t>
  </si>
  <si>
    <t>Divide median price by median income, report as percentage</t>
  </si>
  <si>
    <t>The HUD Median Family Income Limit was used from year to year with no correction. In the replacement cost of living indicator, the HUD projection is used until the ACS actual data is available.</t>
  </si>
  <si>
    <t>Affordable (300% of Median Income)</t>
  </si>
  <si>
    <t>Median Home Price (as % Median Income)</t>
  </si>
  <si>
    <t>Median Single-Family Home Price (as % Median Income)</t>
  </si>
  <si>
    <t>Price/Median Income</t>
  </si>
  <si>
    <t>kWh/person</t>
  </si>
  <si>
    <t>Status</t>
  </si>
  <si>
    <t>current</t>
  </si>
  <si>
    <t>Per capita (permanent population) Jobs</t>
  </si>
  <si>
    <t>partial</t>
  </si>
  <si>
    <t>retired</t>
  </si>
  <si>
    <t>2016-</t>
  </si>
  <si>
    <t>2017-</t>
  </si>
  <si>
    <t>2 year lag</t>
  </si>
  <si>
    <t>1 year lag</t>
  </si>
  <si>
    <t>2017-2020</t>
  </si>
  <si>
    <t>2013-2016</t>
  </si>
  <si>
    <t>2013-2017</t>
  </si>
  <si>
    <t>Past Indicators/Methodologies That are Still Tracked</t>
  </si>
  <si>
    <t>Past Indicators/Methodologies For Which Data is No Longer Collected</t>
  </si>
  <si>
    <t>2014-2020</t>
  </si>
  <si>
    <t>Traffic Growth by Year</t>
  </si>
  <si>
    <t>2014-</t>
  </si>
  <si>
    <t>Permanently Conserved Land</t>
  </si>
  <si>
    <t>Redevelopment vs. New Construction</t>
  </si>
  <si>
    <t>Previous month</t>
  </si>
  <si>
    <t>Apr. for previous year</t>
  </si>
  <si>
    <t>Mar. for previous year</t>
  </si>
  <si>
    <t>Long-Range Planning</t>
  </si>
  <si>
    <t>JHAir (listserve)</t>
  </si>
  <si>
    <t>Reported 2013-2020, retired as part of 2020 GMP Update because it does not relate directly to a Chapter Goal (but it is the GMP trigger)</t>
  </si>
  <si>
    <t>Monitor, 2012 GMP Trigger: 5% Residential Growth, 2020 GMP Trigger: 7% Residential Growth</t>
  </si>
  <si>
    <t>Growth by Use (retired)</t>
  </si>
  <si>
    <t>Report the growth in the past year as well as the % growth since 2012 and 2020 and the % growth in the past 10 years</t>
  </si>
  <si>
    <t>Non-Residential</t>
  </si>
  <si>
    <t>Single Year</t>
  </si>
  <si>
    <t>Growth Amounts</t>
  </si>
  <si>
    <t>10-Year</t>
  </si>
  <si>
    <t>Since 2012</t>
  </si>
  <si>
    <t>Since 2020</t>
  </si>
  <si>
    <t>Detached Single Family</t>
  </si>
  <si>
    <t>Growth Rate</t>
  </si>
  <si>
    <t>Use added divided by the prior use amount</t>
  </si>
  <si>
    <t>Destinations (LEHD) (Residence-Workplace Relationship)</t>
  </si>
  <si>
    <t>Percentage of the Workforce Living Locally (retired)</t>
  </si>
  <si>
    <t>Annual Growth Rate Comparison (Jobs per capita?)</t>
  </si>
  <si>
    <t>Workers by Workplace Geography (ACS) (for reference)</t>
  </si>
  <si>
    <t>Active Commute Modeshare (ACS) (for reference)</t>
  </si>
  <si>
    <t>Percentage of the Workforce Living Locally (reference only)</t>
  </si>
  <si>
    <t>Select Housing Characteristics (ACS)</t>
  </si>
  <si>
    <t>Effective Population Indicator (current)</t>
  </si>
  <si>
    <t>Jobs (BEA)?</t>
  </si>
  <si>
    <t>Household Employment and Income Data (ACS)</t>
  </si>
  <si>
    <t>HUD Median Family Income Limit</t>
  </si>
  <si>
    <t>HUD Free Market Rent</t>
  </si>
  <si>
    <t>Vacancy Status (Second Homes)</t>
  </si>
  <si>
    <t>Percentage of the Workforce Living Locally (reference)</t>
  </si>
  <si>
    <t>Other Costs of Living</t>
  </si>
  <si>
    <t>future? Student capacity?</t>
  </si>
  <si>
    <t>Travel Times</t>
  </si>
  <si>
    <t>Parking Garage to Teton Village</t>
  </si>
  <si>
    <t>SOV</t>
  </si>
  <si>
    <t>Bike</t>
  </si>
  <si>
    <t>E-Bike</t>
  </si>
  <si>
    <t>Walk</t>
  </si>
  <si>
    <t>Parking Garage to Airport</t>
  </si>
  <si>
    <t>High School to Hospital</t>
  </si>
  <si>
    <t>rows are placeholders until 2020 ITP update</t>
  </si>
  <si>
    <t>Annual Growth Rate Comparison (Cost of Living)</t>
  </si>
  <si>
    <t>Childcare</t>
  </si>
  <si>
    <t>Transportation</t>
  </si>
  <si>
    <t>Active Commute Modeshare (ACS)</t>
  </si>
  <si>
    <t>Why are the mode of travel numbers so different from the resident numbers?</t>
  </si>
  <si>
    <t>See indicators for adjustments</t>
  </si>
  <si>
    <t>Best available occupancy data</t>
  </si>
  <si>
    <t>Best available data</t>
  </si>
  <si>
    <t>A benchmark mode share study is something that is called for in the ITP and has been a desire for years</t>
  </si>
  <si>
    <t>See Walk/Bike Modeshare for benchmark to adjust commute mode share to all trips</t>
  </si>
  <si>
    <t>It is pulling from the same sources as the BEA data and informs the HUD Limits so it is not really that informative that it is similar to those sources</t>
  </si>
  <si>
    <t>They are typically available in April for the upcoming year</t>
  </si>
  <si>
    <t>These are a projection for regulatory purposes for the upcoming year, based on ACS data. As a result they tend to be conservative (low) and should be adjusted to the actual ACS number once available</t>
  </si>
  <si>
    <t>These are a projection for regulatory purposes for the upcoming year, based on ACS data. They represent a consistent methodology even if they should not be used to judge "affordability" because they are 40th percentile instead of median and are a regulatory standard, not a backward looking datapoint.</t>
  </si>
  <si>
    <t>Typically available within a month of quarter-end</t>
  </si>
  <si>
    <t>Most accurate source. Individual sales prices do not have to be publicly disclosed, but they do have to be disclosed to the Assessor so the Assessor's record is the most complete accounting of real estate sales.</t>
  </si>
  <si>
    <t>Ask for median and average of non-restricted homes. They will not typically include Condotel units (example: Teton Mountain Lodge) but it is worth making sure they are not included in the data request</t>
  </si>
  <si>
    <t>PRC Review</t>
  </si>
  <si>
    <t>The Housing Department keeps their count up to date, however there can be some slight discrepancies between when PRC occurred and when approval occurred.</t>
  </si>
  <si>
    <t>The report should be based on the count as of January 1 so that the building permit data can be appropriately compared and added into the count.</t>
  </si>
  <si>
    <t>See the indicator for adjustment of units at building permit based on building permit data</t>
  </si>
  <si>
    <t>The accuracy of the trend and order of magnitude is good. The precision is not reliable. The Housing Department  tracks units when they complete PRC review so the count is only as accurate as the latest set of plans sent to the Housing Department</t>
  </si>
  <si>
    <t>Best available based on permanent counters</t>
  </si>
  <si>
    <t>Can be estimated pretty accurately from the MAWDT if report lags</t>
  </si>
  <si>
    <t>Typically available in spring for previous year, but it is a statewide report that can get delayed</t>
  </si>
  <si>
    <t>About a 1 month lag</t>
  </si>
  <si>
    <t>Energy Load</t>
  </si>
  <si>
    <t>Energy Load (retired)</t>
  </si>
  <si>
    <t>Collisions</t>
  </si>
  <si>
    <t>Rides</t>
  </si>
  <si>
    <t>Vehicles</t>
  </si>
  <si>
    <t>miles</t>
  </si>
  <si>
    <t>Persons</t>
  </si>
  <si>
    <t>Occupied Rooms/Total Rooms</t>
  </si>
  <si>
    <t>$</t>
  </si>
  <si>
    <t>$/month</t>
  </si>
  <si>
    <t>$/year</t>
  </si>
  <si>
    <t>Households</t>
  </si>
  <si>
    <t>Persons/DU</t>
  </si>
  <si>
    <t>persons</t>
  </si>
  <si>
    <t>jobs/person</t>
  </si>
  <si>
    <t>$/year/person</t>
  </si>
  <si>
    <r>
      <t>%</t>
    </r>
    <r>
      <rPr>
        <sz val="11"/>
        <color theme="1"/>
        <rFont val="Calibri"/>
        <family val="2"/>
      </rPr>
      <t>∆ (from base year)</t>
    </r>
  </si>
  <si>
    <t>Running Average Annual Growth Rate from Indicated Base</t>
  </si>
  <si>
    <r>
      <t>%</t>
    </r>
    <r>
      <rPr>
        <sz val="11"/>
        <rFont val="Calibri"/>
        <family val="2"/>
      </rPr>
      <t>∆ (from prior year)</t>
    </r>
  </si>
  <si>
    <r>
      <t>%</t>
    </r>
    <r>
      <rPr>
        <sz val="11"/>
        <rFont val="Calibri"/>
        <family val="2"/>
      </rPr>
      <t>∆ (past 10 years)</t>
    </r>
  </si>
  <si>
    <r>
      <t>%</t>
    </r>
    <r>
      <rPr>
        <sz val="11"/>
        <rFont val="Calibri"/>
        <family val="2"/>
      </rPr>
      <t>∆ (since 2012)</t>
    </r>
  </si>
  <si>
    <r>
      <t>%</t>
    </r>
    <r>
      <rPr>
        <sz val="11"/>
        <rFont val="Calibri"/>
        <family val="2"/>
      </rPr>
      <t>∆ (since 2020)</t>
    </r>
  </si>
  <si>
    <r>
      <t>%</t>
    </r>
    <r>
      <rPr>
        <sz val="11"/>
        <color theme="5" tint="-0.249977111117893"/>
        <rFont val="Calibri"/>
        <family val="2"/>
      </rPr>
      <t>∆ (from prior year)</t>
    </r>
  </si>
  <si>
    <r>
      <t>%</t>
    </r>
    <r>
      <rPr>
        <sz val="11"/>
        <color theme="5" tint="-0.249977111117893"/>
        <rFont val="Calibri"/>
        <family val="2"/>
      </rPr>
      <t>∆ (past 10 years)</t>
    </r>
  </si>
  <si>
    <r>
      <t>%</t>
    </r>
    <r>
      <rPr>
        <sz val="11"/>
        <color theme="5" tint="-0.249977111117893"/>
        <rFont val="Calibri"/>
        <family val="2"/>
      </rPr>
      <t>∆ (since 2012)</t>
    </r>
  </si>
  <si>
    <r>
      <t>%</t>
    </r>
    <r>
      <rPr>
        <sz val="11"/>
        <color theme="5" tint="-0.249977111117893"/>
        <rFont val="Calibri"/>
        <family val="2"/>
      </rPr>
      <t>∆ (since 2020)</t>
    </r>
  </si>
  <si>
    <t>persons/DU</t>
  </si>
  <si>
    <t>persons/LU</t>
  </si>
  <si>
    <t>occupied LU/total LU</t>
  </si>
  <si>
    <t xml:space="preserve">Bureau of Economic Analysis (Table CAINC4 Person Income and Employment by Major Component) </t>
  </si>
  <si>
    <t>Per capita personal income (dollars) (Linecode 10/Linecode 20)</t>
  </si>
  <si>
    <t>One piece of the jobs puzzle - only looks at wage jobs but is closer to an "Full-Time Equivalent (FTE)" number than BEA (meaning a different jobs per employee factor than when using BEA) it is based on unemployment insurance filing at the State level</t>
  </si>
  <si>
    <t>One piece of the employment puzzle - it is calculated from the national Current Employment Statistics survey that is completed each month and commonly known as the "jobs report" the statewide employment/unemployment estimate is then allocated to the County level by the Wyo Div. of Economic Analysis based on unemployment claims</t>
  </si>
  <si>
    <t>Looks at wage jobs. It correlates well with year-round jobs (the minimum month from QCEW dataset) but doesn't seem to provide less information on seasonal employees</t>
  </si>
  <si>
    <t>Looks at wage jobs and wage employees. It correlates well with year-round jobs (the minimum month from QCEW dataset) but doesn't seems to provide less information on seasonal employees</t>
  </si>
  <si>
    <t>Another piece of the jobs puzzle, accuracy unclear: it factors in all of the federal job sources (BLS, IRS, LAUS) but only appears to include wage earners, need to compare against commuter calculations and data and do more research on definition</t>
  </si>
  <si>
    <t>For seasonal, recreational, or occasional use</t>
  </si>
  <si>
    <t>Reported because of historical relationship for consistency with past housing studies. Data now available from Assessor that is more complete and accurate</t>
  </si>
  <si>
    <t>Current to date of query</t>
  </si>
  <si>
    <t>The Housing Inventory (Tim Wake, 2014) that triggered the methodology for the indicator was a starting point, but has been refined and this data is not necessarily consistent with the data used in that report</t>
  </si>
  <si>
    <t>Best available, sample of  lodging facilities including Jackson Lake Lodge and other facilities that close for the winter season, those facilities remain in the denominator even when closed</t>
  </si>
  <si>
    <t>no adjustments are made to the Chamber data, but perhaps the sample should be analyzed for representativeness</t>
  </si>
  <si>
    <t xml:space="preserve">Doesn't look at whole Park, only includes: Sum of Monthly Data for TENT Campers at Lewis Lake CH, Rs Campers at Lewis lake Cg, TENT Campers at Bridge Bay, Rev Campers at Bridge Bay, Tent Campers at Grant Village CG, RV Campers at Grant Village, RV Campers at Fishing Bridge RV Park, Old Faithful O/N Stays, Old Faithful Lodge O/N Stays, Old Faithful Snow Lodge O/N Stays, Grant Village Lodge O/N Stays, Bridge Bay Group Campers, Grant Village Group campers </t>
  </si>
  <si>
    <t>Indicates count affected by counter malfunction</t>
  </si>
  <si>
    <t>Indicates count affected by detour</t>
  </si>
  <si>
    <t>Might be interesting to pull ATR #82 to get a sense of Pass vs. Canyon traffic as another commuter calibration point</t>
  </si>
  <si>
    <t>In 2020 the data was reported as a single total, the reported total is very close to the sum total for past years and all that was available for 2018 and 2019</t>
  </si>
  <si>
    <t>Ungulate Wildlife Vehicle Collision</t>
  </si>
  <si>
    <t>Monthly emails for the year-to-date</t>
  </si>
  <si>
    <t>Timber Ridge Academy</t>
  </si>
  <si>
    <t>Classical Academy</t>
  </si>
  <si>
    <t>Long-Range Planning, Transportation Planner, Housing Department</t>
  </si>
  <si>
    <t>2020 Housing Supply Plan</t>
  </si>
  <si>
    <t>Buildout assumptions table</t>
  </si>
  <si>
    <t>See ConservationBuildoutTracker sheet: data in this data table auto populates from that data sheet</t>
  </si>
  <si>
    <t>Data is current to date of database query, however data is typically pulled annually for a full calendar year</t>
  </si>
  <si>
    <t>Yearend Totals are based on the development existing at yearend 2016 - which was calculated as part of the calibration of the traffic model in late 2017. The source of this information is a GIS file: TetonCounty170101byBldg.TAB</t>
  </si>
  <si>
    <t>The 2016 yearend development was estimated by adding 2012-2015 building permits to the 2012 existing development estimate completed for the 2013 Housing Nexus Study. The totals vary slightly from the totals achieved by adding annual totals to the 2012 base (as was done for Indicator Reports from 2013-2020) because the work to create the 2016 estimate involved some refinement of the 2012 base along with addition of 2012-2016 building permit information.</t>
  </si>
  <si>
    <t>A needed future adjustment is to allocate the Conservation Easement and Common Area statistics into the other uses, they are a remnant from the 2012 existing development study associated with the 2013 Nexus Study and do not correspond to any uses that were eventually adopted in 2015.</t>
  </si>
  <si>
    <t xml:space="preserve">Yearend Totals are based on the development existing at yearend 2016 - which was calculated as part of the calibration of the traffic model in late 2017. </t>
  </si>
  <si>
    <r>
      <t xml:space="preserve">Since 2012 the goal of the community has been to, "maintain healthy populations of all native species", however no index or metric of the health trend for native species has been reported. Strategy 1.G.S.1 includes analysis of the various data sources such as JHCA's </t>
    </r>
    <r>
      <rPr>
        <i/>
        <sz val="11"/>
        <color theme="1"/>
        <rFont val="Calibri"/>
        <family val="2"/>
        <scheme val="minor"/>
      </rPr>
      <t>State of Wildlife</t>
    </r>
    <r>
      <rPr>
        <sz val="11"/>
        <color theme="1"/>
        <rFont val="Calibri"/>
        <family val="2"/>
        <scheme val="minor"/>
      </rPr>
      <t xml:space="preserve">, Charture's </t>
    </r>
    <r>
      <rPr>
        <i/>
        <sz val="11"/>
        <color theme="1"/>
        <rFont val="Calibri"/>
        <family val="2"/>
        <scheme val="minor"/>
      </rPr>
      <t>Mosaic</t>
    </r>
    <r>
      <rPr>
        <sz val="11"/>
        <color theme="1"/>
        <rFont val="Calibri"/>
        <family val="2"/>
        <scheme val="minor"/>
      </rPr>
      <t xml:space="preserve">, and Hansen and Philips 2018 </t>
    </r>
    <r>
      <rPr>
        <i/>
        <sz val="11"/>
        <color theme="1"/>
        <rFont val="Calibri"/>
        <family val="2"/>
        <scheme val="minor"/>
      </rPr>
      <t>Trends in vital signs for Greater Yellowstone: application of a Wildland Health Index</t>
    </r>
  </si>
  <si>
    <t>Benchmark annual measures of energy consumption against decennial calculation of GHG emissions (by Yellowstone-Teton Clean Cities) to estimate annual GHG emissions</t>
  </si>
  <si>
    <t>The 2008 and 2018 GHG emissions studies by Yellowstone-Teton Clean Cities indicate that energy consumption is becoming cleaner, the linear trend in efficiency is projected forward from 2018 and should be adjusted with each YTCC report or any major efficiency event</t>
  </si>
  <si>
    <t>When VMT is not available, it can be estimated pretty accurately from the monthly traffic counts being collected for other indicators, once VMT data is added the calculation will recalibrate to actual VMT.</t>
  </si>
  <si>
    <r>
      <t>tons CO2e (CO</t>
    </r>
    <r>
      <rPr>
        <vertAlign val="subscript"/>
        <sz val="11"/>
        <color theme="9" tint="-0.249977111117893"/>
        <rFont val="Calibri"/>
        <family val="2"/>
        <scheme val="minor"/>
      </rPr>
      <t>2</t>
    </r>
    <r>
      <rPr>
        <sz val="11"/>
        <color theme="9" tint="-0.249977111117893"/>
        <rFont val="Calibri"/>
        <family val="2"/>
        <scheme val="minor"/>
      </rPr>
      <t xml:space="preserve"> equivalent, where GHG emitted is not CO2)</t>
    </r>
  </si>
  <si>
    <t>Actual Air travel Load</t>
  </si>
  <si>
    <t>The 2015 Complete Neighborhood number includes the 570 units "earmarked" for use through the CN-PRD even though the CN-PRD didn't go into effect until April 1, 2016 and there is no regulatory limit on CNPRD units. The 570 unit number was an estimate made through the Rural LDR update that created the CN-PRD and not memorialized in code or policy anywhere. The overall limit is the growth cap in Policy 3.1.a of the Comp Plan.</t>
  </si>
  <si>
    <t>The 2018 Complete Neighborhood number assigned all pooled incentive units (sum of zone changes, conservation easements, and land transfers) to Complete Neighborhoods with the operationalization of the workforce housing bonus Townwide through the District 3-6 Rezone (even though the bonus tool was actually created at the end of 2016 with adoption of the District 2 rezone). When this was done, the 570 units earmarked in 2015 were removed so as not to be double counted since the CN-PRD and Town Workforce Housing Bonus pull from the same pool of incentive units.</t>
  </si>
  <si>
    <t>The 2011 running total from 1994 is an entered number that has appeared in every Indicator Report. It was calculated during the Comprehensive Plan adoption process, but the data used in the calculation needs to be rediscovered in the County files or recreated. The annual net change numbers for 2007-2011 are used to back-calculate the running total since 1994 prior to 2011</t>
  </si>
  <si>
    <t>The Housing Department started tracking Preapplication Conference units in 2019, these units are not included in the total because the back data does not exist and pre-aps have more variation in detail, PRC review, and follow-though</t>
  </si>
  <si>
    <t>The percentage of retail sales is the sum of retail, arts/entertainment, and accommodations/food service jobs in Town divided by the same sum in for the Jackson Hole and Alta CCDs. That percentage is then applied to the % of sales tax collected in person, which is 1 minus the percentage of sales tax collected online</t>
  </si>
  <si>
    <t>No adjustments are made the LEHD data - there is volatility in the percentage during the Great Recession, but the trend leading up to the Recession and following the Recession suggest adjustment is not needed and there was just a period of market response to the recession. (Other LEHD datasets are imputed to address large, illogical variances)</t>
  </si>
  <si>
    <t>Future analysis of "day labor" (e.g. a landscaper who lives in Victor and works for a Victor business, but is in Teton County working at a Teton County property), on-site service delivery (e.g. a caterer cooking at the house of the party host), and the location of proprietor business is needed to improve the job location analysis as much of the work being done in Teton County might not be showing up in typical jobs data.</t>
  </si>
  <si>
    <t>As of 2020 the Town of Jackson is working with the State to obtain point of sale data. Once that data is obtained, or the Town institutes an additional penny of sales tax, this indicator can be reported. If that data does not become available, a proxy needs to be calculated. One idea is to regress industry employment against industry sales tax collection then use geographic location of employment by industry to estimate geographic location of sales tax collection.</t>
  </si>
  <si>
    <t>Percentage of Cultural Activities in Town</t>
  </si>
  <si>
    <t>Jobs (BEA) (for reference and legacy)</t>
  </si>
  <si>
    <t>This estimate requires monitoring, there are many rows that report relations between datasets, these are included to identify anomalies that indicate the data or method might be flawed</t>
  </si>
  <si>
    <t>First, impute any of the LEHD Primary Jobs by Residence data that appears anomalous. For example, during the Great Recession in 2009 jobs (QCEW and BEA) and employed residents (LAUS) both dropped significantly from 2008, but the LEHD data showed and increase - to correct the unexplainable anomaly in the data, the LEHD number was imputed using the LAUS trend.</t>
  </si>
  <si>
    <t>Third, calculate the year-round local wage earners by subtracting the out-commuters from the corrected LEHD Primary by Residence number.</t>
  </si>
  <si>
    <t>Fourth, calculate the annual average of seasonal workers by dividing the annual average of jobs (QCEW) by the LEHD count of "year-round" jobs and multiplying that by the corrected LEHD Primary by Residence number.</t>
  </si>
  <si>
    <t>Fifth, calculate proprietors by subtracting out-commuters, year-round local wage earners, and the annual average of seasonal wage earners from the LAUS annual average of employed people living locally.</t>
  </si>
  <si>
    <t>Sixth, calculate monthly seasonal employees living locally by subtracting the out-commuters, year-round local wage earners, and proprietors from the monthly LAUS count of employed local residents.</t>
  </si>
  <si>
    <t>Seventh, calculate the annual and monthly number of in-commuters by dividing the annual/monthly number of local jobs (QCEW) by the LEHD ratio of all jobs/primary jobs (workers) then subtracting the year-round and monthly local workforce.</t>
  </si>
  <si>
    <t>Eighth, divide the annual or monthly number of in-commuters by the sum of year-round local wage earners, proprietors, annual or monthly local seasonal workers, and annual or monthly in-commuters</t>
  </si>
  <si>
    <t>LEHD data for all jobs in Teton County is closely correlated with the minimum QCEW, so it is assumed the  LEHD count represents the year-round count</t>
  </si>
  <si>
    <t>It is assumed that out-commuter and proprietor jobs are year-round, this not precise, but given the method it is probably accurate enough. The out-commuter data is straight from LEHD so it should be viewed as year-round. While there are likely seasonal proprietor jobs it is less likely there are seasonal proprietor people, and the proprietors estimate is derived from a count of people (LAUS) not jobs.</t>
  </si>
  <si>
    <t>this is a rough jobs/worker number by place of employment, but doesn't include all part-time jobs if they do not have unemployment insurance, similarity to below indicates that in and out commuters have roughly the same number of jobs per employee as locals (although locals are still the majority and could certainly pull up out-commuters)</t>
  </si>
  <si>
    <t>this is a rough jobs/worker number by place of residence, but doesn't include all part-time jobs if they do not have unemployment insurance, does imply that out-commuters are not single job holders</t>
  </si>
  <si>
    <t>BEA Non-proprietors</t>
  </si>
  <si>
    <t>this is a trend tracking ratio, it will vary with proprietor trends and out-commuter trends, but can also be monitored for anomalies (like 09-14)</t>
  </si>
  <si>
    <t>Year-round Resident Wage Earners</t>
  </si>
  <si>
    <t>take the monthly QCEW, adjust for jobs per person using LEHD All to Primary, subtract year-round commuters, subtract year-round resident wage earners, adjust for LAUS variation (if out-commuters are relatively year-round (assumed) and there is a base year-round resident wage earner, then the variation has to be in seasonal wage earners and commuters and we have a sense of the seasonal locals from the LAUS)</t>
  </si>
  <si>
    <t>2015-2016 reports only reported tenure (ownership/rental) and vacancy characteristics</t>
  </si>
  <si>
    <t>2017-2020 reports included a similar methodology except that the total unit starting point used was the ACS unit number and the number of occupied units was calculated as a function of the vacancy adjustment made in effective population calculation. (see the effective population indicator for a discussion of legacy vacancy adjustment)</t>
  </si>
  <si>
    <t>"Ensure a variety of housing opportunities exist [for the workforce]" (Chapter 5 Goal)</t>
  </si>
  <si>
    <t>ACS less YNP less STR/Dude ranch less Guesthouses</t>
  </si>
  <si>
    <t>Updated in 2021 with the 2020 GMP Update to the Comp Plan; first reported in 2015 as Jobs, Housing Balance</t>
  </si>
  <si>
    <t>Presentation of growth rates over economic periods began in 2021</t>
  </si>
  <si>
    <t>2012-2019 (2012 Base) Post-Recession, also represents time period since adoption of the Comprehensive Plan</t>
  </si>
  <si>
    <t>For the  active time period the chart has to be adjusted each year to report the most recent average for the period</t>
  </si>
  <si>
    <t>The permanent residents component is calculated by multiplying the midyear population estimate by a "vacation factor" to account for residents who are on vacation</t>
  </si>
  <si>
    <t>The second home occupant component is calculated by estimating the number of second homes from the vacancy characteristics data then multiplying that number by the national average family size and lodging occupancy for the month. The second home estimate is the sum of the number of seasonal housing units plus the number of housing units for rent minus 5% of all housing units to account for a standard vacancy rate.</t>
  </si>
  <si>
    <t>The overnight visitor component is calculated by multiplying the maximum occupancy of all conventional lodging units, short-term rentals, dude ranch, and campsites by the monthly lodging occupancy then adding the number of overnight visitors in the National Forests and Parks. The maximum occupancy for a conventional lodging unit is 2. The maximum occupancy for a short-term rental, dude ranch unit, and campsite is the national average family size.</t>
  </si>
  <si>
    <t>Census Mid-Year Estimate used instead of ACS population because it is available sooner, goes back further, and is the number used by the BEA to calculate per capita statistics</t>
  </si>
  <si>
    <t>Because of housing demand, it assumed that if &gt;5% of the housing stock is for rent those units are actually in the seasonal occupancy pool - not necessarily an illegal short-term rental, but for rent month-to-month at a visitor price point rather than resident price point. 5% vacancy due to units for rent/sale is a rule of thumb used in housing analysis nationally.</t>
  </si>
  <si>
    <t>The national average family size is used for assumed occupants in a second home, short-term rental, campsite, and dude ranch assuming that these accommodation types are less likely to house single householders, who bring down the average household size.</t>
  </si>
  <si>
    <t>Vacation factor of 5% is a constant that has always been used. It does not have a data source and could be refined to be a monthly number if a data source were available - mobility data? Residence of deplanements?</t>
  </si>
  <si>
    <t>BTNF campground occupancy is reported for the entire summer. The total is divided by the number of days in summer then applied evenly to each month despite the likelihood that the distribution is not even.</t>
  </si>
  <si>
    <t>CTNF data has not been available. The original estimate is held constant until data is available.</t>
  </si>
  <si>
    <t>The estimate does not include an estimate of day-laborers - for example, someone who lives in Driggs, works for a Driggs landscaping company, but drives the Pass every day because 75% of the company's clients are in Jackson Hole - such people do not show up as being here in any of the jobs or residence data, but traffic growth and anecdotal "light industry" trends would indicate this is a growing phenomenon.</t>
  </si>
  <si>
    <t>The lower estimate by the new methodology is driven by the corrected estimate in seasonal employees. The 2013-2020 methodology assumed that proprietor jobs grew seasonally with wage jobs and that proprietor work has the same jobs/workers ratio as wage work, the result was an inflated count of seasonal wage jobs and therefore workers. As discussed in the Local Workforce indicator, it is more appropriate to assume that proprietors (people) are likely year-round residents and to estimate the number of seasonal workers using unemployment data (LAUS count of people) and use monthly variation in jobs to estimate monthly variation in commuters. As an indicator that something was wrong with the old methodology, the 2018 estimate for shoulder seasonal workers was over 25% of the permanent population estimate. The other changes in methodology (commuters, using national average family size, new second home estimate) also effected the estimate, but all of those changes had the net effect of slightly increasing the effective population estimate - another testament to how inflated the seasonal worker number was.</t>
  </si>
  <si>
    <t>Seasonal, recreational, or occasional use</t>
  </si>
  <si>
    <t>Reported since 2013, no changes to report  methodology, see below for change to data source</t>
  </si>
  <si>
    <t>In 2013, the Chamber of Commerce switched from reporting the occupancy of their membership and the Rocky Mountain Lodging Report, to their current Economic Dashboard methodology which pulls from a sample of lodging establishments throughout the valley</t>
  </si>
  <si>
    <t xml:space="preserve">A needed adjustment is grouping of the jobs so that changes in employment profile are more readily visible. Jonathan Schechter has developed an NAICS grouping for sales tax collection analysis that might be useful if he is willing to share. The BEA also groups in various ways in the Personal Income dataset. </t>
  </si>
  <si>
    <t>First reported in 2021 following the technical update to the ITP and the 2020 GMP Update to the Comprehensive Plan</t>
  </si>
  <si>
    <t>Effective Population Indicator</t>
  </si>
  <si>
    <t>In addition to benchmarks, the graphs also include traffic growth projections from the ITP, which use data through 2013 as there base. There are 2 projections the first is a baseline forecast that assumes non-implementation of the ITP, the second is a forecast based on ITP implementation.</t>
  </si>
  <si>
    <t>S. Hwy 89 and Hwy 22 west of Wilson are not included because the ITP found corridor improvements extremely unlikely to be needed prior to 2035</t>
  </si>
  <si>
    <t>5-Year Average</t>
  </si>
  <si>
    <t>Report total LVE electricity usage (commercial and residential) and per capita usage based on effective population</t>
  </si>
  <si>
    <t>Divide the total electricity usage in each season by the effective population of that season</t>
  </si>
  <si>
    <t>Attached Single Family</t>
  </si>
  <si>
    <t>Effective Population (2013-2020 Methodology)</t>
  </si>
  <si>
    <t>Permanent Population (ACS)</t>
  </si>
  <si>
    <t>Percentage of Workforce Living Locally Indicator (Retired, 2005 Base)</t>
  </si>
  <si>
    <t>why Decennial number instead of ACS?</t>
  </si>
  <si>
    <t>probably not the same for commuters, local wage earners, proprietors</t>
  </si>
  <si>
    <t>Percentage of the Workforce Living Locally (2013-2020 Methodology)</t>
  </si>
  <si>
    <t>Reported 2013-2020, Methodology updated as part of 2020 GMP Update based on discrepancy between indicator method and Housing Action Plan method</t>
  </si>
  <si>
    <t>The basic assumption is that jobs per employee is constant so that the relationship of the federal data to actual data will remain proportional</t>
  </si>
  <si>
    <t>From 2013-2020 the primary calibration was based on the 2007 Housing Needs Assessment, which was actually a 2005 survey of employees</t>
  </si>
  <si>
    <t>In 2020 a second calibration was used based on the 2014 Housing Needs Assessment when it was discovered that the '07 NA calibration did not yield the '14 NA survey result</t>
  </si>
  <si>
    <t>2007 Needs Assessment Survey Estimate</t>
  </si>
  <si>
    <t>2007 Needs Assessment Data Point</t>
  </si>
  <si>
    <t>2014 Needs Assessment Survey Estimate</t>
  </si>
  <si>
    <t>2014 Needs Assessment Data Point</t>
  </si>
  <si>
    <t>Report the median home price as a percentage of median income (with a line at 300% of median income to represent an affordable home price)</t>
  </si>
  <si>
    <t>Bar BC Meadow Lot 1 (Black Canyon Ranch)</t>
  </si>
  <si>
    <t>Bar BC Meadow Lot 2 (Black Canyon Ranch)</t>
  </si>
  <si>
    <t>Bar BC Meadow Lot 3 (Black Canyon Ranch)</t>
  </si>
  <si>
    <t>Black Canyon Ranch (Lot 4)</t>
  </si>
  <si>
    <t>H-H-R Ranches Easement</t>
  </si>
  <si>
    <t>Valley Springs Ranch (Wilson)</t>
  </si>
  <si>
    <t>Teton Front (Jones)</t>
  </si>
  <si>
    <t>Spring Creek Ranch Easement</t>
  </si>
  <si>
    <t>Poodle Ranch (Harry Oliver)</t>
  </si>
  <si>
    <t>Teton Valley Ranch (Western Properties Investors, LLC)</t>
  </si>
  <si>
    <t>Shooting Star (Snake River Associates)</t>
  </si>
  <si>
    <t>Shooting Star Golf Course (Snake River Associates)</t>
  </si>
  <si>
    <t>Shooting Star Setback (Snake River Associates)</t>
  </si>
  <si>
    <t>G2V</t>
  </si>
  <si>
    <t>Fall Creek Road (MacLean)</t>
  </si>
  <si>
    <t>Red Rock Ranch II (RRR Conservation, LLC)</t>
  </si>
  <si>
    <t>Bar B Bar (Reynolds)</t>
  </si>
  <si>
    <t>Squaw Creek I (Munger Mountain)</t>
  </si>
  <si>
    <t>Squaw Creek II (Melbourne Partners)</t>
  </si>
  <si>
    <t>Squaw Creek III (Melbourne Partners)</t>
  </si>
  <si>
    <t>Pacific Creek (Baxter)</t>
  </si>
  <si>
    <t>Squaw Creek IV (Munger Mountain)</t>
  </si>
  <si>
    <t>Mustang Ridge Easement</t>
  </si>
  <si>
    <t>Hatchet Resort (Moran Mountain Resorts LLC)</t>
  </si>
  <si>
    <t>Donaghmore</t>
  </si>
  <si>
    <t>Downington</t>
  </si>
  <si>
    <t>Donaghmore Easement</t>
  </si>
  <si>
    <t>Crescent H Guest Ranch (Parcel 10)</t>
  </si>
  <si>
    <t>Bar B Bar 3A (JB Bar Ranch Holdings LP)</t>
  </si>
  <si>
    <t>Flat Creek Corridor Protection</t>
  </si>
  <si>
    <t>River Rock Ranch IV (McQuillan)</t>
  </si>
  <si>
    <t>Edgcomb/River Bend Ranch</t>
  </si>
  <si>
    <t>Brittenham/Schatz</t>
  </si>
  <si>
    <t>Jackson Hole Ranch Parcel I</t>
  </si>
  <si>
    <t>Doshay</t>
  </si>
  <si>
    <t>Givens Working Ranch (Jackson Hole Ranch)</t>
  </si>
  <si>
    <t>Bar B Bar 6A (AWM Trust)</t>
  </si>
  <si>
    <t>Red Rock Ranch III (MacKenzie Land LP)</t>
  </si>
  <si>
    <t>B-Hive Ranch (AWM Trust)</t>
  </si>
  <si>
    <t>525 West Zenith</t>
  </si>
  <si>
    <t>Bar B Bar Ranch 2A/2B</t>
  </si>
  <si>
    <t>Crescent H Ranch Lot 23</t>
  </si>
  <si>
    <t>East Gros Ventre Butte 181ac</t>
  </si>
  <si>
    <t>Flat Creek Corridor Protection Project IV (ToJ)</t>
  </si>
  <si>
    <t>Bar B Bar 1A PRD</t>
  </si>
  <si>
    <t>ZZXYZ</t>
  </si>
  <si>
    <t>Skyline Ranch Tract 4-3</t>
  </si>
  <si>
    <t>Pontirussa LLC</t>
  </si>
  <si>
    <t>Taylor Creek</t>
  </si>
  <si>
    <t>Taylor Creek PRD</t>
  </si>
  <si>
    <t>River Rock Ranch V</t>
  </si>
  <si>
    <t>River Springs (RLC)</t>
  </si>
  <si>
    <t>Flat Creek Bend (Sobieski Trust)</t>
  </si>
  <si>
    <t>Skyline Ranch Tract 4-4 (Richter)</t>
  </si>
  <si>
    <t>Spring Gulch Ranch A-1 (Mead)</t>
  </si>
  <si>
    <t>Spring Gulch Ranch B-1 (Mead)</t>
  </si>
  <si>
    <t>Spring Gulch Ranch C-1 (Mead)</t>
  </si>
  <si>
    <t>Spring Gulch Ranch D-1 (Mead)</t>
  </si>
  <si>
    <t>Spring Gulch Ranch 2 (Mead)</t>
  </si>
  <si>
    <t>NC-PUD</t>
  </si>
  <si>
    <t>B619 P894</t>
  </si>
  <si>
    <t>B664 P1016</t>
  </si>
  <si>
    <t>B670 P1000</t>
  </si>
  <si>
    <t>B668 P476</t>
  </si>
  <si>
    <t>B672 P875</t>
  </si>
  <si>
    <t>B673 P937</t>
  </si>
  <si>
    <t>B673 P1084</t>
  </si>
  <si>
    <t>B673 P1055</t>
  </si>
  <si>
    <t>B680 P380</t>
  </si>
  <si>
    <t>B686 P685</t>
  </si>
  <si>
    <t>B686 P744</t>
  </si>
  <si>
    <t>B686 P1086</t>
  </si>
  <si>
    <t>B687 P042</t>
  </si>
  <si>
    <t>B687 P116</t>
  </si>
  <si>
    <t>B687 P161</t>
  </si>
  <si>
    <t>B715 P463</t>
  </si>
  <si>
    <t>B715 P555</t>
  </si>
  <si>
    <t>B726 P399</t>
  </si>
  <si>
    <t>B730 P288</t>
  </si>
  <si>
    <t>B743 P367</t>
  </si>
  <si>
    <t>B766 P325</t>
  </si>
  <si>
    <t>B772 P441</t>
  </si>
  <si>
    <t>B772 P1074</t>
  </si>
  <si>
    <t>B796 P1067</t>
  </si>
  <si>
    <t>B816 P669</t>
  </si>
  <si>
    <t>B815 P312</t>
  </si>
  <si>
    <t>B816 P586</t>
  </si>
  <si>
    <t>B830 P472</t>
  </si>
  <si>
    <t>B830 P534</t>
  </si>
  <si>
    <t>B830 P822</t>
  </si>
  <si>
    <t>B830 P865</t>
  </si>
  <si>
    <t>B842 P796</t>
  </si>
  <si>
    <t>B856 P550</t>
  </si>
  <si>
    <t>B857 P843</t>
  </si>
  <si>
    <t>B859 P230</t>
  </si>
  <si>
    <t>B873 P70</t>
  </si>
  <si>
    <t>B876 P939</t>
  </si>
  <si>
    <t>B883 P756</t>
  </si>
  <si>
    <t>B884 P247</t>
  </si>
  <si>
    <t>B885 P130</t>
  </si>
  <si>
    <t>B885 P163</t>
  </si>
  <si>
    <t>B885 P193</t>
  </si>
  <si>
    <t>B890 P880</t>
  </si>
  <si>
    <t>B912 P10</t>
  </si>
  <si>
    <t>B911 P1</t>
  </si>
  <si>
    <t>B894 P923</t>
  </si>
  <si>
    <t>B894 P955</t>
  </si>
  <si>
    <t>B894 P984</t>
  </si>
  <si>
    <t>B894  P1013</t>
  </si>
  <si>
    <t>B894 P1041</t>
  </si>
  <si>
    <t>B662 P197</t>
  </si>
  <si>
    <t>B690 P784</t>
  </si>
  <si>
    <t>B743 P001</t>
  </si>
  <si>
    <t>B766 P278</t>
  </si>
  <si>
    <t>B771 P890</t>
  </si>
  <si>
    <t>B799 P581</t>
  </si>
  <si>
    <t>B812 P251</t>
  </si>
  <si>
    <t>Plat 881</t>
  </si>
  <si>
    <t>P-TC</t>
  </si>
  <si>
    <t>NC-TC</t>
  </si>
  <si>
    <t>BC/R-TC</t>
  </si>
  <si>
    <t>22-41-16-04-1-00-011</t>
  </si>
  <si>
    <t>22-41-16-04-3-00-004</t>
  </si>
  <si>
    <t>22-41-16-04-3-00-006</t>
  </si>
  <si>
    <t>22-41-16-04-3-00-005</t>
  </si>
  <si>
    <t>EAS2008-0004 and DEV2008-0015 for a 2-unit non-s/d PRD.  BSA = 77.14</t>
  </si>
  <si>
    <t>EAS2008-0002 and DEV2008-0013 for a 2-unit non-s/d PRD.  BSA = 78.68</t>
  </si>
  <si>
    <t>EAS2008-0003 and DEV2008-0014 for a 2-unit non-s/d PRD.  BSA = 76.24</t>
  </si>
  <si>
    <t>EAS2007-0006 and DEV2007-0024 for a 2-unit non-s/d PRD.  BSA = 122.7</t>
  </si>
  <si>
    <t>EAS2007-0001.  Amended EAS1996-0005 to allow the encroachment of a driveway; 0.13 acres added and 0.05 acres removed from easement.  Net change:  +0.08 acres</t>
  </si>
  <si>
    <t>property has 150.35 acres total; portion not in conservation easement is already developeed with a homesite</t>
  </si>
  <si>
    <t>EAS2007-0003 and DEV2006-0026.  Conservation easement added to the clubhouse lot; no change in the number of dwellings.  See also B116 P468 (original); B481 P359, and B516 P24 for other amendments</t>
  </si>
  <si>
    <t xml:space="preserve">Building envelopes have not been established and depend on whether the property owner extinguishes the rights to a dwelling on the property to the north.  If building envelope to the north is extinguished, then this parcel may be divided into 5 parcels rather than 4 (meaning no net change in dwelling units in one scenario vs. the other).  Each building site is to be limited to 5 acres.  Approx. 65 acres outside of steep slopes.  BSA = approx. 101 ac. 3 du/35 ac w/ 70% conserved.  Total acreage:  234.7  136.5 acres conserved.  98.2 acres already conserved. </t>
  </si>
  <si>
    <t>EAS2007-0002 and DEV2007-0002 for a 3-unit nons/d PRD; easement originally granted to TCSPT but was transferred to the JHLT in 2009.  Amendment B741 P225 modified rights and obligations; no change in density; amendment to DEV was to allow a road in the open space.  52.404-acre property; BSA = 35.719 acres</t>
  </si>
  <si>
    <t>Associated w/ Shooting Star DEV approval.  See DBA2002-000 for the density transfer information and pre-easement potential.
10 affordable/employee units reserved, 55 market-rate units reserved (all accounted for in the DBA).  Reserves the right to use density transfers to move the 10 affordable/employee units to a receiving area.  Associated with 6 different parcels.</t>
  </si>
  <si>
    <t>Associated w/ Shooting Star DEV approval</t>
  </si>
  <si>
    <t>property has 149.89 acres total; portion not in conservation easement is already developed with a homesite and caretaker's residence</t>
  </si>
  <si>
    <t>Allows one dwelling and a hayshed</t>
  </si>
  <si>
    <t>Covers three properties:  7A, 7B, and 6B.  Portions of 7B and 6B not covered by easement, and 1 dwelling unit permitted on each property.  1.2-acre ag BE on 7A, and no dwelling units permitted.  Total acreage on all three properties:  105.34 vs. 81.7-acre easement</t>
  </si>
  <si>
    <t>no building envelope.  Pre-easement potential estimated - assumes approx. 50% of property has slopes in excess of 25% for a total BSA of 160 acres.  6 du/35 ac w/ 70% conserved</t>
  </si>
  <si>
    <t>no building envelope.  Pre-easement potential estimated - assumes approx. 31 acres outside steep slopes for a total BSA of approx. 33.75 acres.  3 du/35 ac w/ 70% conserved</t>
  </si>
  <si>
    <t>no building envelope.  Pre-easement potential estimated - assumes approx. 30 acres outside steep slopes for a total BSA of approx. 69 acres.  3 du/35 ac w/ 70% conserved</t>
  </si>
  <si>
    <t>Allows one dwelling and a guest house.  Previous zoning:  RA-3 which allows 2 lots</t>
  </si>
  <si>
    <t>no building envelope.  Pre-easement potential estimated - assumes approx. 23 acres outside steep slopes for a total BSA of approx. 47 acres.  3 du/35 ac w/ 70% conserved</t>
  </si>
  <si>
    <t>EAS2009-0001 and DEV2002-0019 for a 2-unit S/D PRD.  BSA = 28.44</t>
  </si>
  <si>
    <t>Approx. 7.11-acre condo plat.  2 acres preserved.</t>
  </si>
  <si>
    <t>EAS2008-0006 and DEV2009-0001 - a replacement of a 1986 easement (the 1986 easement was abandoned and originally conserved 15 acres).  This new easement conserves 19 acres for a net change of 4 acres.</t>
  </si>
  <si>
    <t>EAS2009-0002 and DEV2009-XXXX - amendment to EASXXXX-XXXX (B349 P575, B423 P676).  BSA = 54.8?</t>
  </si>
  <si>
    <t>EAS2008-0010 and DEV2009-0024 allowed a 4-unit s/d PRD; no subdivision of land has yet occurrred. Only 48.07 acres required to be under conservation.  BSA = 54.29 acres</t>
  </si>
  <si>
    <t>EAS2009-0005 and DEV2009-0023 allowed a 2-unit non S/D PRD.  25.16 acres proposed for conservation; 19.26 acres already conserved.  BSA = 26.59 acres</t>
  </si>
  <si>
    <t>EAS2010-0001 - amendment to EAS1999-0003 (B378 P788) to allow for the encroachment of a footbridge, patio and ball court. No change in density proposed, but a small increase in protected lands occurred</t>
  </si>
  <si>
    <t>DEV2008-0001.  2-unit nons/d PRD Easement language states that 2 dwellings may be located on the property, but that one must be accessory.  BSA = 23.6</t>
  </si>
  <si>
    <t>TOWN OF JACKSON.  Approx. 6 acres outside of steep slopes.  BSA = approx. 18 acres.</t>
  </si>
  <si>
    <t>allows only one residence (called the 'guest house') at any time on the property</t>
  </si>
  <si>
    <t>EAS2005-0004 and DEV2002-0024.  Amendment to CE B496 P431.  The southern property straddles the line between Teton and Lincold Counties.  Numbers reflect the portion of the easement within Teton County only.  The easement is linked to SRSC, and rights on the southern parcel allowed for ag employee housing until the 2011 amendment (EAS2011-0004).  BSA = 668 ac.  Unclear how many employee housing units would have been allowed, so assuming 2 units - one "main residence" and one "guest house."</t>
  </si>
  <si>
    <t>EAS2008-0008 - amendment of EAS1997-0001; conserved area increased by 0.97 acres due to encroachment of development.  No change in denisty.  The representation of the easement needs to be corrected in the GIS.</t>
  </si>
  <si>
    <t>BSA = approx. 10 acres</t>
  </si>
  <si>
    <t xml:space="preserve">EAS2011-0003 and DEV2011-0010 for a 3-unit PRD.  </t>
  </si>
  <si>
    <t>EAS2011-0001 and DEV2011-0004 for a 3-lot working ranch subdivision (Only 2 lots developable).  This is one of the few JHLT easements that does not cover the entire property.  7.48 acres on lots 1 and 2 reserved for development.</t>
  </si>
  <si>
    <t>Property is 241.66 acres in size; 153 acres preserved.  CE covers 63% of property; can do 2 du/35 ac w/ 50% conservation.  Is a guest ranch w/ a lodge and 16 dwelling and/or guest units (per Assessor).  No dwellings allowed in CE.</t>
  </si>
  <si>
    <t>Was considered a buildable lot; now preserved</t>
  </si>
  <si>
    <t>JHLT easement overlaid on TNC easements (see B314 P613 and B409 P411; the former allowed for up to 6 dus on 3 parcels while the latter does not appear to allow any dus).  BSA = approx. 29.57 acres</t>
  </si>
  <si>
    <t>EAS2012-0003 - easement transferred from TCSPT to JHLT</t>
  </si>
  <si>
    <t>Settlement for 2001 easement violation on Parcel 4 of Crescent H Ranch #114.  It doesn't appear that JHLT has actually prohibited development on this property.  They own it outright, and the 'easement' is actually the warranty deed.  There doesn't appear to be anything in the deed that actually protects the land other than the fact that the Land Trust owns it.</t>
  </si>
  <si>
    <t>approx 42 acres outside steep slopes and BSA = approx 112 acres. 3 du/35 ac w/ 70% conservation.  Grantor reserves the right to use the property for grazing livestock</t>
  </si>
  <si>
    <t>While public access is not listed as a conservation value, public access is obvious</t>
  </si>
  <si>
    <t>EAS2014-0003, DEV2008-0020</t>
  </si>
  <si>
    <t>Limited number of ag buildings are permitted to be on the property.  There is no defined 'developable area', so listed the entire property as developable</t>
  </si>
  <si>
    <t>covers 2 35-acre parcels.  Potential based on a BSA of 70 acres total</t>
  </si>
  <si>
    <t>EAS2011-0006; DEV2012-0008</t>
  </si>
  <si>
    <t>JHLT: 1-0.528 ac. BUILDING ENVELOPE : House, 3 non-habit building. There isn't anymore developable area.</t>
  </si>
  <si>
    <t>JHLT: Existing 4 ac. BE developed. 9 buildings in existing BE. Main house, Guest cabin, charter barn, calving barn, summer kitchen, scale house, scale house 2, Lean-to, Old Barn. Reserves right to add additional residence.</t>
  </si>
  <si>
    <t xml:space="preserve">Provides 4 acre building envelope that permits one primary building, one ARU, and agricultural building accessory to agricultural uses (employee housing, animal shelters, etc).Not sure on existing structures. Said to be described in Inventory, which isn't present. Exhibit B with the Map of the structures is unreadable. </t>
  </si>
  <si>
    <t>22-40-16-07-4-00-003</t>
  </si>
  <si>
    <t>22-41-17-01-3-00-003, 2-41-17-01-2-00-001, 2-41-17-01-2-00-001, 22-42-17-25-3-00-002</t>
  </si>
  <si>
    <t>22-42-17-24-4-00-008</t>
  </si>
  <si>
    <t>22-42-16-19-3-00-009, 22-42-16-19-2-00-009</t>
  </si>
  <si>
    <t>22-42-15-11-1-00-013</t>
  </si>
  <si>
    <t>22-41-16-20-3-00-006</t>
  </si>
  <si>
    <t>22-41-16-20-1-00-009</t>
  </si>
  <si>
    <t>22-41-16-20-1-00-008</t>
  </si>
  <si>
    <t>22-41-16-17-4-00-005</t>
  </si>
  <si>
    <t>22-41-16-17-4-00-004</t>
  </si>
  <si>
    <t>22-41-17-25-2-01-001</t>
  </si>
  <si>
    <t>22-41-17-25-2-01-005</t>
  </si>
  <si>
    <t>22-44-18-22-2-00-001, 22-44-18-21-4-00-001</t>
  </si>
  <si>
    <t>22-40-17-14-3-00-006, 22-40-17-14-3-00-005</t>
  </si>
  <si>
    <t>22-40-17-14-3-00-007</t>
  </si>
  <si>
    <t>22-41-17-23-1-00-045</t>
  </si>
  <si>
    <t>22-41-16-32-4-00-022</t>
  </si>
  <si>
    <t>22-42-16-29-4-00-016</t>
  </si>
  <si>
    <t>22-42-16-28-2-00-001</t>
  </si>
  <si>
    <t>22-42-16-03-4-00-012</t>
  </si>
  <si>
    <t>22-41-16-32-4-00-029</t>
  </si>
  <si>
    <t>Flat Creek Corridor Protection Project II (ToJ)</t>
  </si>
  <si>
    <t>B795 P248</t>
  </si>
  <si>
    <t>Flat Creek Corridor Protection Project III (ToJ)</t>
  </si>
  <si>
    <t>22-41-16-10-4-00-019</t>
  </si>
  <si>
    <t>22-42-16-21-3-00-015</t>
  </si>
  <si>
    <t>22-41-16-06-2-02-009</t>
  </si>
  <si>
    <t>22-42-16-21-1-00-005</t>
  </si>
  <si>
    <t>22-42-13-21-1-00-001</t>
  </si>
  <si>
    <t>22-42-16-21-1-00-008</t>
  </si>
  <si>
    <t>22-42-16-21-1-00-012</t>
  </si>
  <si>
    <t>22-41-16-32-4-00-030</t>
  </si>
  <si>
    <t>22-41-16-32-4-00-031</t>
  </si>
  <si>
    <t>Plat 1307</t>
  </si>
  <si>
    <t>Plat 1320</t>
  </si>
  <si>
    <t>22-42-16-03-4-00-016</t>
  </si>
  <si>
    <t>22-40-17-04-2-00-001</t>
  </si>
  <si>
    <t>22-38-16-08-4-00-003</t>
  </si>
  <si>
    <t>22-42-16-32-1-00-022</t>
  </si>
  <si>
    <t>22-41-16-32-4-00-026, 22-41-16-32-4-00-027, 22-41-16-32-4-00-028</t>
  </si>
  <si>
    <t>22-40-17-03-2-00-008</t>
  </si>
  <si>
    <t>22-42-17-26-1-01-005</t>
  </si>
  <si>
    <t>22-42-17-26-1-00-003</t>
  </si>
  <si>
    <t>22-40-17-04-1-00-007, 22-40-17-04-1-00-008</t>
  </si>
  <si>
    <t>Plat 1263</t>
  </si>
  <si>
    <t>22-45-13-36-1-02-CND</t>
  </si>
  <si>
    <t>22-45-13-07-4-00-055</t>
  </si>
  <si>
    <t>22-40-16-32-4-00-001</t>
  </si>
  <si>
    <t>22-40-16-32-3-00-003</t>
  </si>
  <si>
    <t>22-40-16-31-3-00-001</t>
  </si>
  <si>
    <t>22-40-16-31-2-00-001</t>
  </si>
  <si>
    <t>, 22-42-16-21-1-00-011</t>
  </si>
  <si>
    <t>22-42-13-09-3-00-003</t>
  </si>
  <si>
    <t>22-40-17-15-3-00-001</t>
  </si>
  <si>
    <t>22-42-17-35-1-00-008</t>
  </si>
  <si>
    <t>22-41-16-32-2-00-004</t>
  </si>
  <si>
    <t>22-41-17-15-1-00-002</t>
  </si>
  <si>
    <t>22-41-16-17-4-01-001</t>
  </si>
  <si>
    <t>Total Acres Conserved (2017 Baseline)</t>
  </si>
  <si>
    <t>Conservation/Subdivision Acreage</t>
  </si>
  <si>
    <t>S/D</t>
  </si>
  <si>
    <t>01284</t>
  </si>
  <si>
    <t>01288</t>
  </si>
  <si>
    <t>1299</t>
  </si>
  <si>
    <t>T-301G</t>
  </si>
  <si>
    <t>1306</t>
  </si>
  <si>
    <t>01311</t>
  </si>
  <si>
    <t>01314</t>
  </si>
  <si>
    <t>01320</t>
  </si>
  <si>
    <t>T-93E</t>
  </si>
  <si>
    <t>T-487A</t>
  </si>
  <si>
    <t>T-510</t>
  </si>
  <si>
    <t>01367</t>
  </si>
  <si>
    <t>01369</t>
  </si>
  <si>
    <t>01372</t>
  </si>
  <si>
    <t>T-458F</t>
  </si>
  <si>
    <t>01373</t>
  </si>
  <si>
    <t>T-29F</t>
  </si>
  <si>
    <t>01377</t>
  </si>
  <si>
    <t>T-515</t>
  </si>
  <si>
    <t>01380</t>
  </si>
  <si>
    <t>T-495A</t>
  </si>
  <si>
    <t>T-518</t>
  </si>
  <si>
    <t>T-522</t>
  </si>
  <si>
    <t>T-446D</t>
  </si>
  <si>
    <t>01405</t>
  </si>
  <si>
    <t>T-446E</t>
  </si>
  <si>
    <t>PUD-PR</t>
  </si>
  <si>
    <t>FAM</t>
  </si>
  <si>
    <t>PRD</t>
  </si>
  <si>
    <t>Court Order</t>
  </si>
  <si>
    <t>EXD2019-0004</t>
  </si>
  <si>
    <t>S/D2019-0006</t>
  </si>
  <si>
    <t>EXD2019-0005</t>
  </si>
  <si>
    <t>22-41-11-06-2-00-003, 22-41-11-06-2-00-004, 22-41-11-06-2-00-005</t>
  </si>
  <si>
    <t>Jackson Hole Golf &amp; Tennis Condominiums</t>
  </si>
  <si>
    <t>Inglis Subdivision</t>
  </si>
  <si>
    <t>Triangle Q, 2nd Filing</t>
  </si>
  <si>
    <t>Belles Filles</t>
  </si>
  <si>
    <t>Triangle Q, 3rd Filing</t>
  </si>
  <si>
    <t>Triangle Q, 4th Filing</t>
  </si>
  <si>
    <t>Linn Family Subdivison</t>
  </si>
  <si>
    <t>FAM/NC</t>
  </si>
  <si>
    <t>Halpin Fish Creek (GV) Family Subidivsion</t>
  </si>
  <si>
    <t>22-44-18-29-1-00-008</t>
  </si>
  <si>
    <t>New Lots</t>
  </si>
  <si>
    <t>Wheeldon to WGF</t>
  </si>
  <si>
    <t>22-42-13-09-3-00-004</t>
  </si>
  <si>
    <t>22-41-16-16-3-00-006</t>
  </si>
  <si>
    <t>Ellis Family Subdivision</t>
  </si>
  <si>
    <t>Christensen Settlement</t>
  </si>
  <si>
    <t>22-44-18-21-2-00-024, 22-44-18-21-2-00-025</t>
  </si>
  <si>
    <t>22-38-16-05-1-00-006</t>
  </si>
  <si>
    <t>River Bend Riparian</t>
  </si>
  <si>
    <t>Magnuson/Trucco</t>
  </si>
  <si>
    <t>Sublette Woods</t>
  </si>
  <si>
    <t xml:space="preserve">East Ranch </t>
  </si>
  <si>
    <t>River Bend Riparian Division</t>
  </si>
  <si>
    <t>Snake River Sporting Club, 4th Filing</t>
  </si>
  <si>
    <t>Vogel Hill</t>
  </si>
  <si>
    <t>Lodges at Snake River Canyon Ranch Resort</t>
  </si>
  <si>
    <t>Spring Creek Ranch Core, 2nd Filing</t>
  </si>
  <si>
    <t>22-42-13-07-3-00-005</t>
  </si>
  <si>
    <t>Triangle Q, 5th Filing</t>
  </si>
  <si>
    <t>Better than 1 per 35 (PRD)</t>
  </si>
  <si>
    <t>Base 35</t>
  </si>
  <si>
    <t>Not Better than 1 per 35 (FAM, PR, PUD, NC, 7270, Court Order)</t>
  </si>
  <si>
    <t>Need to add 2002 through 2015 data to this sheet ( Rural Subdivision data already goes back to 2010, Conservation data goes back to 2006)</t>
  </si>
  <si>
    <t>For 2:1 and CN-PRD record based on the date of first approval (i.e. Sketch Plan - see Town LDR Div. 7.8 for details)</t>
  </si>
  <si>
    <t>Planning Department databases: identify LDR Text Amendments, Zoning Map Amendments, PUDs, 2:1 Projects, CN-PRDs, and new parcels approved in the past year</t>
  </si>
  <si>
    <t>S/D - Subdivision</t>
  </si>
  <si>
    <t>Net Buildout Change Datasheet</t>
  </si>
  <si>
    <t>For new parcels query CityView for new property records (PIDNs) created in the last year, pull map number, description, tax_id and other Assessor data that will help process the data</t>
  </si>
  <si>
    <t>Only count new parcels in a subdivision, (ie subtract parent parcel(s) from lot count), don’t count boudnary adjustments</t>
  </si>
  <si>
    <t>For new parcels, only Rural Area subdivisions are documented, new parcels are only counted if they are less than 70 acres because properties over 70 acres still have latent potential, land trust "Trust Parcels" and utility lots are not counted</t>
  </si>
  <si>
    <t>Rural Area Acres Subdivided</t>
  </si>
  <si>
    <t>Rural Area Parcels Created</t>
  </si>
  <si>
    <t>Rural Area Potential Removed</t>
  </si>
  <si>
    <t>acres</t>
  </si>
  <si>
    <t>easements</t>
  </si>
  <si>
    <t>Rural Area Acres Conserved</t>
  </si>
  <si>
    <t>Compare whether latent Rural Area potential is being removed through conservaton or subdivided to be realized in the future and where the conservation/subdivision is occuring</t>
  </si>
  <si>
    <t>Subdivisions are only included in the tracker if they create a parcel under 70 acres (no more latent potential)</t>
  </si>
  <si>
    <t>Land trust "Trust Parcels", utility lots and other unbuildable lots are not included in subdivision numbers</t>
  </si>
  <si>
    <t>University of Michigan</t>
  </si>
  <si>
    <t>C-Bar-V</t>
  </si>
  <si>
    <t>Teton Science Schools (Coyote Canyon)</t>
  </si>
  <si>
    <t>Teton Science Schools (Kelly)</t>
  </si>
  <si>
    <t>LAUS data are typical revised twice following initial report, meaning they are not final until 4 months later. Always check back to make sure final  numbers are entered. Use "not seasonally adjusted"</t>
  </si>
  <si>
    <t>Jackson Hole CCD and Alta CCD data are used to avoid Yellowstone effects on ratios (Yellowstone CCD is the only other Census Subdivision of Teton County). Doublecheck previous years' data to ensure no updates or adjustments. 2015-2017 appear to have been updated in 2020/2021</t>
  </si>
  <si>
    <t xml:space="preserve">Jackson Hole CCD is used to minimize the effect of, for example, Driggs to Targhee commuting on the overall commuter numbers since addressing such commuting is not the intent of the community policy. Check for adjustments to previous data. </t>
  </si>
  <si>
    <t>None. Make sure to pull for United States.</t>
  </si>
  <si>
    <t>Housing Department (email Stacy Stoker and April Norton)</t>
  </si>
  <si>
    <t>JTCHA Rental</t>
  </si>
  <si>
    <t>JTCHA Ownership</t>
  </si>
  <si>
    <t>2020 Indicator Report &amp; Work Plan</t>
  </si>
  <si>
    <t>Northern South Park Neighborhood Plan</t>
  </si>
  <si>
    <t>Subarea 12.2 390 Residential Rezone</t>
  </si>
  <si>
    <t>Jackson Hole Airport (From Airport administration staff) or https://www.jacksonholeairport.com/records-reports/activity-reports/</t>
  </si>
  <si>
    <t>Doc 0988329</t>
  </si>
  <si>
    <t>GTNPF Holdings to United States of America https://tetonwy.s3.us-west-2.amazonaws.com/clerk/pdf/0988329.pdf?X-Amz-Content-Sha256=UNSIGNED-PAYLOAD&amp;X-Amz-Algorithm=AWS4-HMAC-SHA256&amp;X-Amz-Credential=AKIAZSTT53HUTH6FEWZR%2F20210330%2Fus-west-2%2Fs3%2Faws4_request&amp;X-Amz-Date=20210330T223557Z&amp;X-Amz-SignedHeaders=host&amp;X-Amz-Expires=86400&amp;X-Amz-Signature=936a978b6ee8834ce404ac4c4977e7872be5b307fa1c76c549155620b6c40a7b</t>
  </si>
  <si>
    <t>Doc 1002574</t>
  </si>
  <si>
    <t>22-42-16-18-3-00-005</t>
  </si>
  <si>
    <t>22-43-15-29-4-00-003</t>
  </si>
  <si>
    <t>Conservation Fund to United States of America</t>
  </si>
  <si>
    <t>BuildoutAssumptions sheet</t>
  </si>
  <si>
    <t>2022-</t>
  </si>
  <si>
    <t>In the R1 and R-TC zones, if the parcel meets the PRD minimum size use the PRD density and apply the utilization reduction (see below for explanation of PRD assumptions)</t>
  </si>
  <si>
    <t>JHG&amp;T Club Master Plan Amendment.</t>
  </si>
  <si>
    <t>ZMA2020-0001</t>
  </si>
  <si>
    <t>Lower Valley Energy Workforce Housing Development.</t>
  </si>
  <si>
    <t>AMD2020-0001</t>
  </si>
  <si>
    <t>AMD2019-0007</t>
  </si>
  <si>
    <t>AMD2019-0002</t>
  </si>
  <si>
    <t>AMD2019-0005</t>
  </si>
  <si>
    <t>AMD2019-0006</t>
  </si>
  <si>
    <t>AMD2020-0002</t>
  </si>
  <si>
    <t>AMD2020-0003</t>
  </si>
  <si>
    <t>LDR Text Amendment for Outdoor Reception Sites</t>
  </si>
  <si>
    <t>Historic Preservation Exemptions.</t>
  </si>
  <si>
    <t>Maximum Scale of Single Building for Institutional Facilities</t>
  </si>
  <si>
    <t>Biennial LDR Cleanup</t>
  </si>
  <si>
    <t>Housing Mitigation Reduction</t>
  </si>
  <si>
    <t>Discontinuance of a permitted use</t>
  </si>
  <si>
    <t>Update Section 6.1.10.D.Wireless Communication Facilities</t>
  </si>
  <si>
    <t>expanded dormitory allowance and RV pads for workforce</t>
  </si>
  <si>
    <t>AMD2019-0003</t>
  </si>
  <si>
    <t>Updated Development Exaction Standards</t>
  </si>
  <si>
    <t>105 Mercill Avenue</t>
  </si>
  <si>
    <t>B20-0512</t>
  </si>
  <si>
    <t>Countywide</t>
  </si>
  <si>
    <t>10-16 E Simpson</t>
  </si>
  <si>
    <t>EAS2020-0001</t>
  </si>
  <si>
    <t xml:space="preserve">Turner Easement Amendment  hufsmith hill </t>
  </si>
  <si>
    <t>22-40-16-18-3-12-001</t>
  </si>
  <si>
    <t>Amended easement</t>
  </si>
  <si>
    <t>6 Market (16,269 sf), 6 Workforce (10,987 sf)</t>
  </si>
  <si>
    <t>174 N King</t>
  </si>
  <si>
    <t>445 Vine Street</t>
  </si>
  <si>
    <t>367 S Willow</t>
  </si>
  <si>
    <t>1 Workforce</t>
  </si>
  <si>
    <t>B20-0378, 0379, 0380 &amp; 0381</t>
  </si>
  <si>
    <t>2 Workforce (1 Townhouse and 1 ARU) and 1 Market</t>
  </si>
  <si>
    <t>B20-0537</t>
  </si>
  <si>
    <t>2 market, 1 workforce</t>
  </si>
  <si>
    <t>B20-0476</t>
  </si>
  <si>
    <t>22-41-16-34-2-24-001.01</t>
  </si>
  <si>
    <t>22-41-16-34-2-33-001</t>
  </si>
  <si>
    <t>22-41-16-27-3-00-021</t>
  </si>
  <si>
    <t>B20-0143</t>
  </si>
  <si>
    <t>28 Workforce, not yet approved. Confirm upon approval.</t>
  </si>
  <si>
    <t>22-41-16-28-4-02-012</t>
  </si>
  <si>
    <t>5 Workforce, 8 Market</t>
  </si>
  <si>
    <t>NM-2</t>
  </si>
  <si>
    <t>DC-2</t>
  </si>
  <si>
    <t>22-41-16-34-2-14-008</t>
  </si>
  <si>
    <t>ARUs: Residential ARUs are considered guesthouses and not considered housing units, Nonresidential ARUs are considered LDR Restricted Housing Units (although some have deed restrictions and care should be taken not to double count)</t>
  </si>
  <si>
    <t>EXD2020-0005</t>
  </si>
  <si>
    <t>Wilson Exempt Subdivision</t>
  </si>
  <si>
    <t>T-317F</t>
  </si>
  <si>
    <t>EXD2020-0007</t>
  </si>
  <si>
    <t>Weeks Family Exempt Subdivision</t>
  </si>
  <si>
    <t>T-369R</t>
  </si>
  <si>
    <t>Percentage of Education Floor Area in Town</t>
  </si>
  <si>
    <t>Prior to 2021 the reported % of the workforce living locally was benchmarked off of surveys of workers, using the trend of the ratio between all jobs (BEA) and local workers (LAUS). What that method hid was the increasing number of jobs per worker for proprietors</t>
  </si>
  <si>
    <t>Approved but not Finaled Building Permit Data</t>
  </si>
  <si>
    <t>% of units occupied by the workforce</t>
  </si>
  <si>
    <t>Deed Restricted Workforce &amp; Affordable</t>
  </si>
  <si>
    <t>Vacant units</t>
  </si>
  <si>
    <t>440 W Kelly</t>
  </si>
  <si>
    <t>JHMR Powderhorn Lane</t>
  </si>
  <si>
    <t xml:space="preserve">Determine the number of year-round residents, commuters, seasonal residents/workers, second home occupants, and overnight visitors in the community  on any given day </t>
  </si>
  <si>
    <t>LEHD Primary data is actually a jobs count, but it is used a proxy person count because whether you have one or many jobs only one can be the primary and therefore each primary job represents a person in theory. This assumption bears out in some of the tests against other data.</t>
  </si>
  <si>
    <t>LDR Restricted Workforce</t>
  </si>
  <si>
    <t>Units occupied by nonworking households</t>
  </si>
  <si>
    <t>Unrestricted rental (workIng)</t>
  </si>
  <si>
    <t>Unrestricted ownership (working)</t>
  </si>
  <si>
    <t>Primary Jobs is a proxy for people because in theory each person has only one primary job, secondary jobs are represented in the "All Jobs" category</t>
  </si>
  <si>
    <t>Hog Island Rezone</t>
  </si>
  <si>
    <t xml:space="preserve">Vehicle Miles Traveled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</si>
</sst>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0.0"/>
    <numFmt numFmtId="166" formatCode="_(&quot;$&quot;* #,##0_);_(&quot;$&quot;* \(#,##0\);_(&quot;$&quot;* &quot;-&quot;??_);_(@_)"/>
    <numFmt numFmtId="167" formatCode="0.000"/>
    <numFmt numFmtId="168" formatCode="_(* #,##0_);_(* \(#,##0\);_(* &quot;-&quot;??_);_(@_)"/>
  </numFmts>
  <fonts count="41" x14ac:knownFonts="1">
    <font>
      <sz val="11"/>
      <color theme="1"/>
      <name val="Calibri"/>
      <family val="2"/>
      <scheme val="minor"/>
    </font>
    <font>
      <sz val="11"/>
      <color theme="1"/>
      <name val="Calibri"/>
      <family val="2"/>
      <scheme val="minor"/>
    </font>
    <font>
      <b/>
      <sz val="11"/>
      <color theme="1"/>
      <name val="Calibri"/>
      <family val="2"/>
      <scheme val="minor"/>
    </font>
    <font>
      <sz val="16"/>
      <name val="Century Gothic"/>
      <family val="2"/>
    </font>
    <font>
      <sz val="11"/>
      <name val="Calibri"/>
      <family val="2"/>
      <scheme val="minor"/>
    </font>
    <font>
      <sz val="11"/>
      <color rgb="FFC00000"/>
      <name val="Calibri"/>
      <family val="2"/>
      <scheme val="minor"/>
    </font>
    <font>
      <sz val="11"/>
      <color theme="1" tint="0.34998626667073579"/>
      <name val="Calibri"/>
      <family val="2"/>
      <scheme val="minor"/>
    </font>
    <font>
      <sz val="10"/>
      <color indexed="8"/>
      <name val="Arial"/>
      <family val="2"/>
    </font>
    <font>
      <sz val="11"/>
      <color indexed="8"/>
      <name val="Calibri"/>
      <family val="2"/>
      <scheme val="minor"/>
    </font>
    <font>
      <sz val="11"/>
      <color rgb="FF000000"/>
      <name val="Calibri"/>
      <family val="2"/>
      <scheme val="minor"/>
    </font>
    <font>
      <sz val="12"/>
      <color rgb="FFC00000"/>
      <name val="Century Gothic"/>
      <family val="2"/>
    </font>
    <font>
      <b/>
      <sz val="11"/>
      <color rgb="FFC00000"/>
      <name val="Calibri"/>
      <family val="2"/>
      <scheme val="minor"/>
    </font>
    <font>
      <b/>
      <sz val="11"/>
      <name val="Calibri"/>
      <family val="2"/>
      <scheme val="minor"/>
    </font>
    <font>
      <u/>
      <sz val="11"/>
      <color theme="10"/>
      <name val="Calibri"/>
      <family val="2"/>
      <scheme val="minor"/>
    </font>
    <font>
      <u/>
      <sz val="11"/>
      <name val="Calibri"/>
      <family val="2"/>
      <scheme val="minor"/>
    </font>
    <font>
      <sz val="10"/>
      <name val="Arial"/>
      <family val="2"/>
    </font>
    <font>
      <sz val="11"/>
      <color rgb="FF9C5700"/>
      <name val="Calibri"/>
      <family val="2"/>
      <scheme val="minor"/>
    </font>
    <font>
      <sz val="12"/>
      <color theme="9" tint="-0.249977111117893"/>
      <name val="Century Gothic"/>
      <family val="2"/>
    </font>
    <font>
      <sz val="12"/>
      <color theme="5" tint="-0.249977111117893"/>
      <name val="Century Gothic"/>
      <family val="2"/>
    </font>
    <font>
      <sz val="11"/>
      <color theme="5" tint="-0.249977111117893"/>
      <name val="Calibri"/>
      <family val="2"/>
      <scheme val="minor"/>
    </font>
    <font>
      <sz val="16"/>
      <color rgb="FF9999FF"/>
      <name val="Century Gothic"/>
      <family val="2"/>
    </font>
    <font>
      <sz val="12"/>
      <color theme="4" tint="-0.249977111117893"/>
      <name val="Century Gothic"/>
      <family val="2"/>
    </font>
    <font>
      <sz val="11"/>
      <color theme="9" tint="-0.249977111117893"/>
      <name val="Calibri"/>
      <family val="2"/>
      <scheme val="minor"/>
    </font>
    <font>
      <sz val="11"/>
      <color theme="1" tint="0.499984740745262"/>
      <name val="Calibri"/>
      <family val="2"/>
      <scheme val="minor"/>
    </font>
    <font>
      <b/>
      <sz val="11"/>
      <color theme="1" tint="0.499984740745262"/>
      <name val="Calibri"/>
      <family val="2"/>
      <scheme val="minor"/>
    </font>
    <font>
      <sz val="8"/>
      <name val="Calibri"/>
      <family val="2"/>
      <scheme val="minor"/>
    </font>
    <font>
      <b/>
      <sz val="11"/>
      <color theme="5" tint="-0.249977111117893"/>
      <name val="Calibri"/>
      <family val="2"/>
      <scheme val="minor"/>
    </font>
    <font>
      <sz val="11"/>
      <color rgb="FF006100"/>
      <name val="Calibri"/>
      <family val="2"/>
      <scheme val="minor"/>
    </font>
    <font>
      <sz val="11"/>
      <color rgb="FF9C0006"/>
      <name val="Calibri"/>
      <family val="2"/>
      <scheme val="minor"/>
    </font>
    <font>
      <u/>
      <sz val="11"/>
      <color rgb="FFC00000"/>
      <name val="Calibri"/>
      <family val="2"/>
      <scheme val="minor"/>
    </font>
    <font>
      <i/>
      <sz val="11"/>
      <color theme="1"/>
      <name val="Calibri"/>
      <family val="2"/>
      <scheme val="minor"/>
    </font>
    <font>
      <sz val="11"/>
      <color theme="4" tint="-0.249977111117893"/>
      <name val="Calibri"/>
      <family val="2"/>
      <scheme val="minor"/>
    </font>
    <font>
      <b/>
      <sz val="11"/>
      <color theme="4" tint="-0.249977111117893"/>
      <name val="Calibri"/>
      <family val="2"/>
      <scheme val="minor"/>
    </font>
    <font>
      <sz val="11"/>
      <color theme="1"/>
      <name val="Calibri"/>
      <family val="2"/>
    </font>
    <font>
      <sz val="11"/>
      <color theme="0"/>
      <name val="Calibri"/>
      <family val="2"/>
      <scheme val="minor"/>
    </font>
    <font>
      <sz val="11"/>
      <color rgb="FF9999FF"/>
      <name val="Calibri"/>
      <family val="2"/>
      <scheme val="minor"/>
    </font>
    <font>
      <vertAlign val="subscript"/>
      <sz val="11"/>
      <color theme="9" tint="-0.249977111117893"/>
      <name val="Calibri"/>
      <family val="2"/>
      <scheme val="minor"/>
    </font>
    <font>
      <sz val="11"/>
      <color theme="5" tint="-0.249977111117893"/>
      <name val="Calibri"/>
      <family val="2"/>
    </font>
    <font>
      <sz val="11"/>
      <name val="Calibri"/>
      <family val="2"/>
    </font>
    <font>
      <b/>
      <sz val="11"/>
      <color theme="9" tint="-0.249977111117893"/>
      <name val="Calibri"/>
      <family val="2"/>
      <scheme val="minor"/>
    </font>
    <font>
      <sz val="10"/>
      <name val="Arial"/>
      <family val="2"/>
    </font>
  </fonts>
  <fills count="18">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rgb="FFFFEB9C"/>
      </patternFill>
    </fill>
    <fill>
      <patternFill patternType="solid">
        <fgColor theme="1" tint="0.49998474074526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theme="9"/>
        <bgColor indexed="64"/>
      </patternFill>
    </fill>
    <fill>
      <patternFill patternType="solid">
        <fgColor rgb="FF00B0F0"/>
        <bgColor indexed="64"/>
      </patternFill>
    </fill>
    <fill>
      <patternFill patternType="solid">
        <fgColor rgb="FFC00000"/>
        <bgColor indexed="64"/>
      </patternFill>
    </fill>
    <fill>
      <patternFill patternType="solid">
        <fgColor theme="9" tint="-0.499984740745262"/>
        <bgColor indexed="64"/>
      </patternFill>
    </fill>
    <fill>
      <patternFill patternType="solid">
        <fgColor theme="7" tint="-0.499984740745262"/>
        <bgColor indexed="64"/>
      </patternFill>
    </fill>
    <fill>
      <patternFill patternType="solid">
        <fgColor rgb="FF9999FF"/>
        <bgColor indexed="64"/>
      </patternFill>
    </fill>
    <fill>
      <patternFill patternType="solid">
        <fgColor rgb="FFEE00EE"/>
        <bgColor indexed="64"/>
      </patternFill>
    </fill>
  </fills>
  <borders count="21">
    <border>
      <left/>
      <right/>
      <top/>
      <bottom/>
      <diagonal/>
    </border>
    <border>
      <left/>
      <right/>
      <top/>
      <bottom style="thin">
        <color indexed="64"/>
      </bottom>
      <diagonal/>
    </border>
    <border>
      <left/>
      <right/>
      <top/>
      <bottom style="medium">
        <color rgb="FFC00000"/>
      </bottom>
      <diagonal/>
    </border>
    <border>
      <left style="thin">
        <color auto="1"/>
      </left>
      <right/>
      <top/>
      <bottom/>
      <diagonal/>
    </border>
    <border>
      <left/>
      <right/>
      <top/>
      <bottom style="double">
        <color rgb="FFC00000"/>
      </bottom>
      <diagonal/>
    </border>
    <border>
      <left/>
      <right/>
      <top/>
      <bottom style="thin">
        <color rgb="FFC00000"/>
      </bottom>
      <diagonal/>
    </border>
    <border>
      <left/>
      <right/>
      <top style="double">
        <color rgb="FFC00000"/>
      </top>
      <bottom/>
      <diagonal/>
    </border>
    <border>
      <left style="thin">
        <color rgb="FFC00000"/>
      </left>
      <right/>
      <top/>
      <bottom/>
      <diagonal/>
    </border>
    <border>
      <left style="thin">
        <color rgb="FFC00000"/>
      </left>
      <right/>
      <top/>
      <bottom style="thin">
        <color rgb="FFC00000"/>
      </bottom>
      <diagonal/>
    </border>
    <border>
      <left/>
      <right/>
      <top style="thin">
        <color rgb="FFC00000"/>
      </top>
      <bottom/>
      <diagonal/>
    </border>
    <border>
      <left style="thin">
        <color rgb="FFC00000"/>
      </left>
      <right/>
      <top style="double">
        <color rgb="FFC00000"/>
      </top>
      <bottom/>
      <diagonal/>
    </border>
    <border>
      <left/>
      <right/>
      <top/>
      <bottom style="thin">
        <color theme="9" tint="-0.249977111117893"/>
      </bottom>
      <diagonal/>
    </border>
    <border>
      <left/>
      <right/>
      <top style="thin">
        <color theme="9" tint="-0.249977111117893"/>
      </top>
      <bottom style="thin">
        <color theme="9" tint="-0.249977111117893"/>
      </bottom>
      <diagonal/>
    </border>
    <border>
      <left/>
      <right/>
      <top/>
      <bottom style="thin">
        <color theme="5" tint="-0.24994659260841701"/>
      </bottom>
      <diagonal/>
    </border>
    <border>
      <left/>
      <right/>
      <top style="thin">
        <color theme="5" tint="-0.24994659260841701"/>
      </top>
      <bottom style="thin">
        <color theme="5" tint="-0.24994659260841701"/>
      </bottom>
      <diagonal/>
    </border>
    <border>
      <left/>
      <right/>
      <top/>
      <bottom style="double">
        <color theme="5" tint="-0.249977111117893"/>
      </bottom>
      <diagonal/>
    </border>
    <border>
      <left/>
      <right/>
      <top/>
      <bottom style="medium">
        <color theme="9" tint="-0.499984740745262"/>
      </bottom>
      <diagonal/>
    </border>
    <border>
      <left/>
      <right/>
      <top style="thin">
        <color theme="4" tint="-0.24994659260841701"/>
      </top>
      <bottom style="thin">
        <color theme="4" tint="-0.24994659260841701"/>
      </bottom>
      <diagonal/>
    </border>
    <border>
      <left/>
      <right/>
      <top/>
      <bottom style="double">
        <color theme="9" tint="-0.24994659260841701"/>
      </bottom>
      <diagonal/>
    </border>
    <border>
      <left/>
      <right/>
      <top/>
      <bottom style="thin">
        <color theme="4" tint="-0.24994659260841701"/>
      </bottom>
      <diagonal/>
    </border>
    <border>
      <left/>
      <right/>
      <top/>
      <bottom style="double">
        <color theme="4" tint="-0.24994659260841701"/>
      </bottom>
      <diagonal/>
    </border>
  </borders>
  <cellStyleXfs count="14">
    <xf numFmtId="0" fontId="0" fillId="0" borderId="0"/>
    <xf numFmtId="43" fontId="1" fillId="0" borderId="0" applyFont="0" applyFill="0" applyBorder="0" applyAlignment="0" applyProtection="0"/>
    <xf numFmtId="0" fontId="7" fillId="0" borderId="0"/>
    <xf numFmtId="0" fontId="13" fillId="0" borderId="0" applyNumberFormat="0" applyFill="0" applyBorder="0" applyAlignment="0" applyProtection="0"/>
    <xf numFmtId="0" fontId="15" fillId="0" borderId="0"/>
    <xf numFmtId="0" fontId="15" fillId="0" borderId="0"/>
    <xf numFmtId="44" fontId="1" fillId="0" borderId="0" applyFont="0" applyFill="0" applyBorder="0" applyAlignment="0" applyProtection="0"/>
    <xf numFmtId="9" fontId="1" fillId="0" borderId="0" applyFont="0" applyFill="0" applyBorder="0" applyAlignment="0" applyProtection="0"/>
    <xf numFmtId="0" fontId="16" fillId="4" borderId="0" applyNumberFormat="0" applyBorder="0" applyAlignment="0" applyProtection="0"/>
    <xf numFmtId="0" fontId="15" fillId="0" borderId="0"/>
    <xf numFmtId="0" fontId="27" fillId="9" borderId="0" applyNumberFormat="0" applyBorder="0" applyAlignment="0" applyProtection="0"/>
    <xf numFmtId="0" fontId="28" fillId="10" borderId="0" applyNumberFormat="0" applyBorder="0" applyAlignment="0" applyProtection="0"/>
    <xf numFmtId="0" fontId="40" fillId="0" borderId="0" applyNumberFormat="0" applyFill="0" applyBorder="0" applyAlignment="0" applyProtection="0"/>
    <xf numFmtId="0" fontId="38" fillId="0" borderId="0"/>
  </cellStyleXfs>
  <cellXfs count="318">
    <xf numFmtId="0" fontId="0" fillId="0" borderId="0" xfId="0"/>
    <xf numFmtId="0" fontId="0" fillId="0" borderId="0" xfId="0" applyAlignment="1">
      <alignment horizontal="right"/>
    </xf>
    <xf numFmtId="0" fontId="0" fillId="0" borderId="0" xfId="0" applyFill="1" applyBorder="1"/>
    <xf numFmtId="0" fontId="0" fillId="2" borderId="0" xfId="0" applyFill="1"/>
    <xf numFmtId="0" fontId="0" fillId="2" borderId="0" xfId="0" applyFill="1" applyAlignment="1">
      <alignment horizontal="right"/>
    </xf>
    <xf numFmtId="0" fontId="0" fillId="0" borderId="0" xfId="0" applyBorder="1"/>
    <xf numFmtId="0" fontId="0" fillId="0" borderId="0" xfId="0" applyBorder="1" applyAlignment="1">
      <alignment horizontal="right"/>
    </xf>
    <xf numFmtId="0" fontId="0" fillId="2" borderId="0" xfId="0" applyFill="1" applyBorder="1"/>
    <xf numFmtId="0" fontId="0" fillId="2" borderId="0" xfId="0" applyFill="1" applyBorder="1" applyAlignment="1">
      <alignment horizontal="right"/>
    </xf>
    <xf numFmtId="0" fontId="4" fillId="0" borderId="0" xfId="0" applyFont="1"/>
    <xf numFmtId="0" fontId="3" fillId="0" borderId="2" xfId="0" applyFont="1" applyBorder="1"/>
    <xf numFmtId="0" fontId="4" fillId="0" borderId="2" xfId="0" applyFont="1" applyBorder="1" applyAlignment="1">
      <alignment horizontal="right"/>
    </xf>
    <xf numFmtId="0" fontId="4" fillId="0" borderId="2" xfId="0" applyFont="1" applyBorder="1"/>
    <xf numFmtId="0" fontId="5" fillId="0" borderId="0" xfId="0" applyFont="1"/>
    <xf numFmtId="0" fontId="5" fillId="0" borderId="0" xfId="0" applyFont="1" applyAlignment="1">
      <alignment horizontal="right"/>
    </xf>
    <xf numFmtId="0" fontId="5" fillId="0" borderId="0" xfId="0" applyFont="1" applyFill="1" applyBorder="1"/>
    <xf numFmtId="0" fontId="6" fillId="0" borderId="0" xfId="0" applyFont="1"/>
    <xf numFmtId="0" fontId="6" fillId="0" borderId="0" xfId="0" applyFont="1" applyAlignment="1">
      <alignment horizontal="right"/>
    </xf>
    <xf numFmtId="0" fontId="0" fillId="0" borderId="3" xfId="0" applyBorder="1"/>
    <xf numFmtId="0" fontId="0" fillId="0" borderId="0" xfId="0" applyAlignment="1">
      <alignment horizontal="center"/>
    </xf>
    <xf numFmtId="43" fontId="0" fillId="0" borderId="0" xfId="1" applyFont="1"/>
    <xf numFmtId="0" fontId="0" fillId="0" borderId="0" xfId="0" applyFill="1" applyBorder="1" applyAlignment="1">
      <alignment horizontal="right"/>
    </xf>
    <xf numFmtId="0" fontId="0" fillId="0" borderId="0" xfId="0" applyFill="1" applyBorder="1" applyAlignment="1">
      <alignment horizontal="center"/>
    </xf>
    <xf numFmtId="14" fontId="8" fillId="0" borderId="0" xfId="2" applyNumberFormat="1" applyFont="1" applyFill="1" applyBorder="1" applyAlignment="1">
      <alignment vertical="top"/>
    </xf>
    <xf numFmtId="0" fontId="8" fillId="0" borderId="0" xfId="2" applyFont="1" applyFill="1" applyBorder="1" applyAlignment="1">
      <alignment vertical="top"/>
    </xf>
    <xf numFmtId="43" fontId="8" fillId="0" borderId="0" xfId="1" applyFont="1" applyFill="1" applyBorder="1" applyAlignment="1">
      <alignment vertical="top"/>
    </xf>
    <xf numFmtId="43" fontId="0" fillId="0" borderId="0" xfId="1" applyFont="1" applyFill="1" applyBorder="1"/>
    <xf numFmtId="1" fontId="0" fillId="0" borderId="0" xfId="0" applyNumberFormat="1" applyFill="1" applyBorder="1"/>
    <xf numFmtId="1" fontId="0" fillId="0" borderId="0" xfId="1" applyNumberFormat="1" applyFont="1" applyFill="1" applyBorder="1"/>
    <xf numFmtId="14" fontId="0" fillId="0" borderId="0" xfId="0" applyNumberFormat="1" applyFill="1" applyBorder="1"/>
    <xf numFmtId="0" fontId="9" fillId="0" borderId="0" xfId="0" applyFont="1" applyFill="1" applyBorder="1"/>
    <xf numFmtId="0" fontId="9" fillId="0" borderId="0" xfId="0" applyFont="1" applyFill="1" applyBorder="1" applyAlignment="1">
      <alignment vertical="center"/>
    </xf>
    <xf numFmtId="0" fontId="0" fillId="0" borderId="0" xfId="0" applyFill="1" applyBorder="1" applyAlignment="1">
      <alignment vertical="center"/>
    </xf>
    <xf numFmtId="0" fontId="0" fillId="0" borderId="4" xfId="0" applyFill="1" applyBorder="1"/>
    <xf numFmtId="0" fontId="0" fillId="0" borderId="4" xfId="0" applyBorder="1"/>
    <xf numFmtId="0" fontId="0" fillId="0" borderId="5" xfId="0" applyBorder="1"/>
    <xf numFmtId="0" fontId="0" fillId="0" borderId="5" xfId="0" applyBorder="1" applyAlignment="1">
      <alignment horizontal="right"/>
    </xf>
    <xf numFmtId="0" fontId="10" fillId="0" borderId="5" xfId="0" applyFont="1" applyBorder="1"/>
    <xf numFmtId="0" fontId="0" fillId="0" borderId="5" xfId="0" applyFill="1" applyBorder="1"/>
    <xf numFmtId="0" fontId="2" fillId="0" borderId="0" xfId="0" applyFont="1" applyFill="1" applyBorder="1" applyAlignment="1">
      <alignment horizontal="right"/>
    </xf>
    <xf numFmtId="0" fontId="2" fillId="0" borderId="4" xfId="0" applyFont="1" applyFill="1" applyBorder="1" applyAlignment="1">
      <alignment horizontal="right"/>
    </xf>
    <xf numFmtId="0" fontId="0" fillId="0" borderId="7" xfId="0" applyFill="1" applyBorder="1"/>
    <xf numFmtId="0" fontId="0" fillId="0" borderId="7" xfId="0" applyBorder="1"/>
    <xf numFmtId="1" fontId="0" fillId="0" borderId="7" xfId="0" applyNumberFormat="1" applyFill="1" applyBorder="1"/>
    <xf numFmtId="0" fontId="11" fillId="0" borderId="0" xfId="0" applyFont="1" applyFill="1" applyBorder="1" applyAlignment="1">
      <alignment horizontal="center" vertical="top"/>
    </xf>
    <xf numFmtId="0" fontId="11" fillId="0" borderId="7" xfId="0" applyFont="1" applyFill="1" applyBorder="1"/>
    <xf numFmtId="0" fontId="11" fillId="0" borderId="0" xfId="0" applyFont="1" applyFill="1" applyBorder="1"/>
    <xf numFmtId="0" fontId="5" fillId="0" borderId="5" xfId="0" applyFont="1" applyFill="1" applyBorder="1"/>
    <xf numFmtId="0" fontId="5" fillId="0" borderId="8" xfId="0" applyFont="1" applyFill="1" applyBorder="1"/>
    <xf numFmtId="0" fontId="0" fillId="0" borderId="9" xfId="0" applyFill="1" applyBorder="1"/>
    <xf numFmtId="0" fontId="0" fillId="0" borderId="7" xfId="0" applyFill="1" applyBorder="1" applyAlignment="1">
      <alignment wrapText="1"/>
    </xf>
    <xf numFmtId="0" fontId="4" fillId="0" borderId="0" xfId="0" applyFont="1" applyFill="1" applyBorder="1"/>
    <xf numFmtId="0" fontId="4" fillId="0" borderId="7" xfId="0" applyFont="1" applyFill="1" applyBorder="1"/>
    <xf numFmtId="0" fontId="4" fillId="0" borderId="0" xfId="0" applyFont="1" applyFill="1" applyBorder="1" applyAlignment="1">
      <alignment horizontal="center" vertical="top"/>
    </xf>
    <xf numFmtId="43" fontId="4" fillId="0" borderId="0" xfId="1" applyFont="1" applyFill="1" applyBorder="1" applyAlignment="1">
      <alignment horizontal="center" vertical="top" wrapText="1"/>
    </xf>
    <xf numFmtId="0" fontId="4" fillId="3" borderId="0" xfId="0" applyFont="1" applyFill="1" applyBorder="1" applyAlignment="1">
      <alignment horizontal="left" vertical="top"/>
    </xf>
    <xf numFmtId="0" fontId="4" fillId="3" borderId="0" xfId="0" applyFont="1" applyFill="1" applyBorder="1" applyAlignment="1">
      <alignment horizontal="center" vertical="top"/>
    </xf>
    <xf numFmtId="0" fontId="11" fillId="0" borderId="6" xfId="0" applyFont="1" applyFill="1" applyBorder="1" applyAlignment="1">
      <alignment horizontal="center" vertical="top"/>
    </xf>
    <xf numFmtId="0" fontId="4" fillId="0" borderId="0" xfId="0" applyFont="1" applyFill="1" applyBorder="1" applyAlignment="1">
      <alignment horizontal="right" vertical="top"/>
    </xf>
    <xf numFmtId="3" fontId="0" fillId="0" borderId="0" xfId="0" applyNumberFormat="1"/>
    <xf numFmtId="20" fontId="0" fillId="0" borderId="0" xfId="0" applyNumberFormat="1" applyFill="1" applyBorder="1" applyAlignment="1">
      <alignment horizontal="center"/>
    </xf>
    <xf numFmtId="3" fontId="6" fillId="0" borderId="0" xfId="0" applyNumberFormat="1" applyFont="1"/>
    <xf numFmtId="3" fontId="5" fillId="0" borderId="0" xfId="0" applyNumberFormat="1" applyFont="1"/>
    <xf numFmtId="0" fontId="14" fillId="0" borderId="0" xfId="3" applyFont="1"/>
    <xf numFmtId="0" fontId="2" fillId="0" borderId="0" xfId="0" applyFont="1" applyAlignment="1">
      <alignment horizontal="right"/>
    </xf>
    <xf numFmtId="0" fontId="2" fillId="0" borderId="4" xfId="0" applyFont="1" applyBorder="1" applyAlignment="1">
      <alignment horizontal="right"/>
    </xf>
    <xf numFmtId="0" fontId="12" fillId="0" borderId="0" xfId="0" applyFont="1" applyAlignment="1">
      <alignment horizontal="right"/>
    </xf>
    <xf numFmtId="0" fontId="4" fillId="3" borderId="0" xfId="0" applyFont="1" applyFill="1" applyAlignment="1">
      <alignment horizontal="left"/>
    </xf>
    <xf numFmtId="0" fontId="6" fillId="0" borderId="0" xfId="0" applyFont="1" applyFill="1" applyBorder="1"/>
    <xf numFmtId="0" fontId="2" fillId="0" borderId="0" xfId="0" applyFont="1" applyAlignment="1">
      <alignment horizontal="center" vertical="center" wrapText="1"/>
    </xf>
    <xf numFmtId="0" fontId="0" fillId="0" borderId="0" xfId="0" applyAlignment="1">
      <alignment vertical="center" wrapText="1"/>
    </xf>
    <xf numFmtId="0" fontId="2" fillId="0" borderId="0" xfId="0" applyFont="1" applyBorder="1" applyAlignment="1">
      <alignment horizontal="right"/>
    </xf>
    <xf numFmtId="0" fontId="5" fillId="0" borderId="0" xfId="0" applyFont="1" applyBorder="1"/>
    <xf numFmtId="0" fontId="2" fillId="2" borderId="0" xfId="0" applyFont="1" applyFill="1" applyAlignment="1">
      <alignment horizontal="center" vertical="center" wrapText="1"/>
    </xf>
    <xf numFmtId="0" fontId="0" fillId="2" borderId="0" xfId="0" applyFill="1" applyAlignment="1">
      <alignment vertical="center" wrapText="1"/>
    </xf>
    <xf numFmtId="0" fontId="11" fillId="0" borderId="0" xfId="0" applyFont="1" applyAlignment="1">
      <alignment horizontal="center" vertical="center" wrapText="1"/>
    </xf>
    <xf numFmtId="0" fontId="10" fillId="2" borderId="5" xfId="0" applyFont="1" applyFill="1" applyBorder="1"/>
    <xf numFmtId="0" fontId="4" fillId="2" borderId="0" xfId="0" applyFont="1" applyFill="1"/>
    <xf numFmtId="0" fontId="3" fillId="0" borderId="2" xfId="0" applyFont="1" applyFill="1" applyBorder="1"/>
    <xf numFmtId="0" fontId="17" fillId="0" borderId="11" xfId="0" applyFont="1" applyBorder="1"/>
    <xf numFmtId="0" fontId="17" fillId="0" borderId="12" xfId="0" applyFont="1" applyBorder="1"/>
    <xf numFmtId="0" fontId="18" fillId="0" borderId="13" xfId="0" applyFont="1" applyBorder="1"/>
    <xf numFmtId="0" fontId="18" fillId="0" borderId="14" xfId="0" applyFont="1" applyBorder="1"/>
    <xf numFmtId="0" fontId="0" fillId="0" borderId="15" xfId="0" applyBorder="1"/>
    <xf numFmtId="0" fontId="2" fillId="0" borderId="15" xfId="0" applyFont="1" applyBorder="1" applyAlignment="1">
      <alignment horizontal="right"/>
    </xf>
    <xf numFmtId="3" fontId="4" fillId="0" borderId="0" xfId="0" applyNumberFormat="1" applyFont="1"/>
    <xf numFmtId="9" fontId="4" fillId="0" borderId="0" xfId="7" applyFont="1"/>
    <xf numFmtId="0" fontId="20" fillId="0" borderId="16" xfId="0" applyFont="1" applyBorder="1"/>
    <xf numFmtId="0" fontId="4" fillId="0" borderId="16" xfId="0" applyFont="1" applyBorder="1" applyAlignment="1">
      <alignment horizontal="right"/>
    </xf>
    <xf numFmtId="0" fontId="4" fillId="0" borderId="16" xfId="0" applyFont="1" applyBorder="1"/>
    <xf numFmtId="0" fontId="0" fillId="5" borderId="0" xfId="0" applyFill="1" applyBorder="1"/>
    <xf numFmtId="0" fontId="0" fillId="5" borderId="0" xfId="0" applyFill="1" applyBorder="1" applyAlignment="1">
      <alignment horizontal="right"/>
    </xf>
    <xf numFmtId="0" fontId="0" fillId="5" borderId="0" xfId="0" applyFill="1"/>
    <xf numFmtId="0" fontId="4" fillId="5" borderId="0" xfId="0" applyFont="1" applyFill="1"/>
    <xf numFmtId="0" fontId="12" fillId="5" borderId="0" xfId="0" applyFont="1" applyFill="1" applyAlignment="1">
      <alignment horizontal="right"/>
    </xf>
    <xf numFmtId="0" fontId="4" fillId="5" borderId="0" xfId="0" applyFont="1" applyFill="1" applyBorder="1"/>
    <xf numFmtId="3" fontId="4" fillId="5" borderId="0" xfId="0" applyNumberFormat="1" applyFont="1" applyFill="1"/>
    <xf numFmtId="3" fontId="4" fillId="0" borderId="0" xfId="7" applyNumberFormat="1" applyFont="1"/>
    <xf numFmtId="0" fontId="21" fillId="0" borderId="17" xfId="0" applyFont="1" applyBorder="1"/>
    <xf numFmtId="0" fontId="0" fillId="0" borderId="18" xfId="0" applyBorder="1"/>
    <xf numFmtId="0" fontId="2" fillId="0" borderId="18" xfId="0" applyFont="1" applyBorder="1" applyAlignment="1">
      <alignment horizontal="right"/>
    </xf>
    <xf numFmtId="0" fontId="4" fillId="0" borderId="0" xfId="7" applyNumberFormat="1" applyFont="1"/>
    <xf numFmtId="0" fontId="4" fillId="0" borderId="0" xfId="0" applyNumberFormat="1" applyFont="1"/>
    <xf numFmtId="3" fontId="22" fillId="0" borderId="0" xfId="0" applyNumberFormat="1" applyFont="1"/>
    <xf numFmtId="3" fontId="12" fillId="0" borderId="0" xfId="0" applyNumberFormat="1" applyFont="1" applyAlignment="1">
      <alignment horizontal="right"/>
    </xf>
    <xf numFmtId="3" fontId="22" fillId="0" borderId="0" xfId="0" applyNumberFormat="1" applyFont="1" applyFill="1" applyBorder="1"/>
    <xf numFmtId="3" fontId="22" fillId="0" borderId="0" xfId="7" applyNumberFormat="1" applyFont="1"/>
    <xf numFmtId="3" fontId="11"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23" fillId="0" borderId="0" xfId="0" applyFont="1"/>
    <xf numFmtId="0" fontId="23" fillId="0" borderId="0" xfId="0" applyFont="1" applyAlignment="1">
      <alignment horizontal="right"/>
    </xf>
    <xf numFmtId="3" fontId="23" fillId="0" borderId="0" xfId="0" applyNumberFormat="1" applyFont="1"/>
    <xf numFmtId="3" fontId="24" fillId="0" borderId="0" xfId="0" applyNumberFormat="1" applyFont="1" applyAlignment="1">
      <alignment horizontal="center" vertical="center" wrapText="1"/>
    </xf>
    <xf numFmtId="3" fontId="5" fillId="0" borderId="0" xfId="0" applyNumberFormat="1" applyFont="1" applyAlignment="1">
      <alignment horizontal="center" vertical="center" wrapText="1"/>
    </xf>
    <xf numFmtId="3" fontId="23" fillId="0" borderId="0" xfId="0" applyNumberFormat="1" applyFont="1" applyAlignment="1">
      <alignment horizontal="center" vertical="center" wrapText="1"/>
    </xf>
    <xf numFmtId="3" fontId="0" fillId="0" borderId="0" xfId="0" applyNumberFormat="1" applyFont="1"/>
    <xf numFmtId="0" fontId="12" fillId="0" borderId="0" xfId="0" applyNumberFormat="1" applyFont="1" applyAlignment="1">
      <alignment horizontal="right"/>
    </xf>
    <xf numFmtId="0" fontId="4" fillId="0" borderId="0" xfId="0" applyNumberFormat="1" applyFont="1" applyFill="1" applyBorder="1"/>
    <xf numFmtId="9" fontId="0" fillId="0" borderId="0" xfId="0" applyNumberFormat="1"/>
    <xf numFmtId="0" fontId="21" fillId="0" borderId="19" xfId="0" applyFont="1" applyBorder="1"/>
    <xf numFmtId="0" fontId="18" fillId="0" borderId="19" xfId="0" applyFont="1" applyBorder="1"/>
    <xf numFmtId="0" fontId="0" fillId="0" borderId="20" xfId="0" applyBorder="1"/>
    <xf numFmtId="164" fontId="0" fillId="0" borderId="0" xfId="7" applyNumberFormat="1" applyFont="1"/>
    <xf numFmtId="164" fontId="0" fillId="0" borderId="0" xfId="0" applyNumberFormat="1"/>
    <xf numFmtId="0" fontId="19" fillId="0" borderId="0" xfId="0" applyFont="1"/>
    <xf numFmtId="0" fontId="26" fillId="0" borderId="0" xfId="0" applyFont="1" applyAlignment="1">
      <alignment horizontal="right"/>
    </xf>
    <xf numFmtId="0" fontId="19" fillId="0" borderId="0" xfId="0" applyFont="1" applyFill="1" applyBorder="1"/>
    <xf numFmtId="3" fontId="19" fillId="0" borderId="0" xfId="7" applyNumberFormat="1" applyFont="1"/>
    <xf numFmtId="0" fontId="4" fillId="0" borderId="0" xfId="0" applyFont="1" applyAlignment="1">
      <alignment horizontal="right"/>
    </xf>
    <xf numFmtId="0" fontId="23" fillId="0" borderId="0" xfId="0" applyFont="1" applyFill="1" applyBorder="1"/>
    <xf numFmtId="0" fontId="2" fillId="0" borderId="20" xfId="0" applyFont="1" applyBorder="1" applyAlignment="1">
      <alignment horizontal="right"/>
    </xf>
    <xf numFmtId="0" fontId="12" fillId="5" borderId="0" xfId="0" applyFont="1" applyFill="1" applyBorder="1" applyAlignment="1">
      <alignment horizontal="right"/>
    </xf>
    <xf numFmtId="3" fontId="4" fillId="5" borderId="0" xfId="7" applyNumberFormat="1" applyFont="1" applyFill="1" applyBorder="1"/>
    <xf numFmtId="4" fontId="4" fillId="0" borderId="0" xfId="7" applyNumberFormat="1" applyFont="1"/>
    <xf numFmtId="164" fontId="4" fillId="0" borderId="0" xfId="7" applyNumberFormat="1" applyFont="1" applyFill="1" applyBorder="1"/>
    <xf numFmtId="165" fontId="0" fillId="0" borderId="0" xfId="0" applyNumberFormat="1"/>
    <xf numFmtId="3" fontId="23" fillId="0" borderId="0" xfId="7" applyNumberFormat="1" applyFont="1"/>
    <xf numFmtId="3" fontId="0" fillId="3" borderId="0" xfId="0" applyNumberFormat="1" applyFill="1"/>
    <xf numFmtId="164" fontId="4" fillId="0" borderId="0" xfId="7" applyNumberFormat="1" applyFont="1"/>
    <xf numFmtId="166" fontId="0" fillId="0" borderId="6" xfId="6" applyNumberFormat="1" applyFont="1" applyBorder="1"/>
    <xf numFmtId="166" fontId="5" fillId="0" borderId="6" xfId="6" applyNumberFormat="1" applyFont="1" applyBorder="1"/>
    <xf numFmtId="166" fontId="0" fillId="0" borderId="0" xfId="6" applyNumberFormat="1" applyFont="1" applyBorder="1"/>
    <xf numFmtId="166" fontId="4" fillId="0" borderId="6" xfId="6" applyNumberFormat="1" applyFont="1" applyBorder="1"/>
    <xf numFmtId="166" fontId="4" fillId="0" borderId="0" xfId="6" applyNumberFormat="1" applyFont="1" applyBorder="1"/>
    <xf numFmtId="0" fontId="4" fillId="0" borderId="6" xfId="0" applyFont="1" applyBorder="1"/>
    <xf numFmtId="0" fontId="12" fillId="0" borderId="6" xfId="0" applyFont="1" applyBorder="1" applyAlignment="1">
      <alignment horizontal="right"/>
    </xf>
    <xf numFmtId="0" fontId="4" fillId="0" borderId="6" xfId="0" applyFont="1" applyFill="1" applyBorder="1"/>
    <xf numFmtId="6" fontId="0" fillId="0" borderId="6" xfId="0" applyNumberFormat="1" applyBorder="1"/>
    <xf numFmtId="166" fontId="0" fillId="0" borderId="0" xfId="6" applyNumberFormat="1" applyFont="1"/>
    <xf numFmtId="3" fontId="2" fillId="0" borderId="0" xfId="0" applyNumberFormat="1" applyFont="1" applyAlignment="1">
      <alignment horizontal="right"/>
    </xf>
    <xf numFmtId="3" fontId="24" fillId="0" borderId="0" xfId="0" applyNumberFormat="1" applyFont="1" applyAlignment="1">
      <alignment horizontal="right"/>
    </xf>
    <xf numFmtId="3" fontId="23" fillId="0" borderId="0" xfId="0" applyNumberFormat="1" applyFont="1" applyFill="1" applyBorder="1"/>
    <xf numFmtId="3" fontId="23" fillId="0" borderId="0" xfId="6" applyNumberFormat="1" applyFont="1" applyBorder="1"/>
    <xf numFmtId="3" fontId="0" fillId="0" borderId="0" xfId="6" applyNumberFormat="1" applyFont="1" applyBorder="1"/>
    <xf numFmtId="3" fontId="0" fillId="0" borderId="0" xfId="0" applyNumberFormat="1" applyFont="1" applyFill="1" applyBorder="1"/>
    <xf numFmtId="3" fontId="5" fillId="0" borderId="0" xfId="6" applyNumberFormat="1" applyFont="1" applyBorder="1"/>
    <xf numFmtId="3" fontId="0" fillId="0" borderId="0" xfId="0" applyNumberFormat="1" applyAlignment="1">
      <alignment horizontal="right"/>
    </xf>
    <xf numFmtId="3" fontId="0" fillId="6" borderId="0" xfId="0" applyNumberFormat="1" applyFill="1" applyAlignment="1">
      <alignment horizontal="right"/>
    </xf>
    <xf numFmtId="3" fontId="0" fillId="7" borderId="0" xfId="0" applyNumberFormat="1" applyFill="1" applyAlignment="1">
      <alignment horizontal="right"/>
    </xf>
    <xf numFmtId="0" fontId="0" fillId="7" borderId="0" xfId="0" applyFill="1" applyBorder="1"/>
    <xf numFmtId="0" fontId="0" fillId="6" borderId="0" xfId="0" applyFill="1" applyBorder="1"/>
    <xf numFmtId="0" fontId="5" fillId="0" borderId="0" xfId="0" applyFont="1" applyAlignment="1">
      <alignment vertical="center" wrapText="1"/>
    </xf>
    <xf numFmtId="3" fontId="4" fillId="8" borderId="0" xfId="0" applyNumberFormat="1" applyFont="1" applyFill="1"/>
    <xf numFmtId="3" fontId="0" fillId="8" borderId="0" xfId="0" applyNumberFormat="1" applyFill="1" applyAlignment="1">
      <alignment horizontal="right"/>
    </xf>
    <xf numFmtId="0" fontId="0" fillId="8" borderId="0" xfId="0" applyFill="1" applyBorder="1"/>
    <xf numFmtId="0" fontId="0" fillId="3" borderId="0" xfId="0" applyFill="1"/>
    <xf numFmtId="0" fontId="0" fillId="0" borderId="0" xfId="0" applyAlignment="1">
      <alignment vertical="center"/>
    </xf>
    <xf numFmtId="3" fontId="0" fillId="0" borderId="0" xfId="0" applyNumberFormat="1" applyAlignment="1">
      <alignment vertical="center" wrapText="1"/>
    </xf>
    <xf numFmtId="0" fontId="0" fillId="0" borderId="0" xfId="0" applyFill="1"/>
    <xf numFmtId="0" fontId="5" fillId="0" borderId="0" xfId="0" applyFont="1" applyFill="1"/>
    <xf numFmtId="164" fontId="0" fillId="0" borderId="0" xfId="7" applyNumberFormat="1" applyFont="1" applyBorder="1"/>
    <xf numFmtId="3" fontId="0" fillId="0" borderId="0" xfId="0" applyNumberFormat="1" applyBorder="1"/>
    <xf numFmtId="9" fontId="4" fillId="0" borderId="0" xfId="7" applyNumberFormat="1" applyFont="1"/>
    <xf numFmtId="3" fontId="4" fillId="0" borderId="0" xfId="0" applyNumberFormat="1" applyFont="1" applyFill="1" applyBorder="1"/>
    <xf numFmtId="0" fontId="4" fillId="3" borderId="0" xfId="0" applyFont="1" applyFill="1"/>
    <xf numFmtId="167" fontId="4" fillId="0" borderId="0" xfId="7" applyNumberFormat="1" applyFont="1"/>
    <xf numFmtId="0" fontId="4" fillId="0" borderId="0" xfId="8" applyFont="1" applyFill="1"/>
    <xf numFmtId="10" fontId="4" fillId="0" borderId="0" xfId="7" applyNumberFormat="1" applyFont="1"/>
    <xf numFmtId="0" fontId="31" fillId="0" borderId="0" xfId="0" applyFont="1"/>
    <xf numFmtId="0" fontId="32" fillId="0" borderId="0" xfId="0" applyFont="1" applyAlignment="1">
      <alignment horizontal="right"/>
    </xf>
    <xf numFmtId="0" fontId="31" fillId="0" borderId="0" xfId="0" applyFont="1" applyFill="1" applyBorder="1"/>
    <xf numFmtId="3" fontId="31" fillId="0" borderId="0" xfId="7" applyNumberFormat="1" applyFont="1"/>
    <xf numFmtId="0" fontId="24" fillId="0" borderId="0" xfId="0" applyFont="1" applyAlignment="1">
      <alignment horizontal="right"/>
    </xf>
    <xf numFmtId="4" fontId="0" fillId="0" borderId="0" xfId="0" applyNumberFormat="1"/>
    <xf numFmtId="164" fontId="23" fillId="0" borderId="0" xfId="7" applyNumberFormat="1" applyFont="1"/>
    <xf numFmtId="3" fontId="5" fillId="0" borderId="0" xfId="0" applyNumberFormat="1" applyFont="1" applyBorder="1"/>
    <xf numFmtId="0" fontId="23" fillId="0" borderId="0" xfId="0" applyFont="1" applyBorder="1"/>
    <xf numFmtId="4" fontId="23" fillId="0" borderId="0" xfId="0" applyNumberFormat="1" applyFont="1" applyBorder="1"/>
    <xf numFmtId="3" fontId="23" fillId="0" borderId="0" xfId="0" applyNumberFormat="1" applyFont="1" applyBorder="1"/>
    <xf numFmtId="164" fontId="23" fillId="0" borderId="0" xfId="7" applyNumberFormat="1" applyFont="1" applyBorder="1"/>
    <xf numFmtId="2" fontId="23" fillId="0" borderId="0" xfId="0" applyNumberFormat="1" applyFont="1" applyBorder="1"/>
    <xf numFmtId="0" fontId="4" fillId="0" borderId="0" xfId="0" applyFont="1" applyBorder="1"/>
    <xf numFmtId="0" fontId="12" fillId="0" borderId="0" xfId="0" applyFont="1" applyFill="1" applyAlignment="1">
      <alignment horizontal="right"/>
    </xf>
    <xf numFmtId="0" fontId="3" fillId="0" borderId="2" xfId="0" applyFont="1" applyBorder="1" applyAlignment="1">
      <alignment horizontal="center"/>
    </xf>
    <xf numFmtId="0" fontId="10" fillId="0" borderId="5" xfId="0" applyFont="1" applyBorder="1" applyAlignment="1">
      <alignment horizontal="center"/>
    </xf>
    <xf numFmtId="0" fontId="0" fillId="12" borderId="0" xfId="0" applyFill="1"/>
    <xf numFmtId="3" fontId="11" fillId="0" borderId="0" xfId="0" applyNumberFormat="1" applyFont="1" applyAlignment="1">
      <alignment horizontal="right"/>
    </xf>
    <xf numFmtId="3" fontId="5" fillId="0" borderId="0" xfId="0" applyNumberFormat="1" applyFont="1" applyFill="1" applyBorder="1"/>
    <xf numFmtId="3" fontId="0" fillId="0" borderId="0" xfId="6" applyNumberFormat="1" applyFont="1" applyFill="1" applyBorder="1"/>
    <xf numFmtId="3" fontId="5" fillId="0" borderId="0" xfId="6" applyNumberFormat="1" applyFont="1" applyFill="1" applyBorder="1"/>
    <xf numFmtId="3" fontId="4" fillId="0" borderId="0" xfId="6" applyNumberFormat="1" applyFont="1" applyBorder="1"/>
    <xf numFmtId="3" fontId="4" fillId="0" borderId="0" xfId="6" applyNumberFormat="1" applyFont="1" applyFill="1" applyBorder="1"/>
    <xf numFmtId="0" fontId="0" fillId="13" borderId="0" xfId="0" applyFill="1"/>
    <xf numFmtId="3" fontId="4" fillId="13" borderId="0" xfId="7" applyNumberFormat="1" applyFont="1" applyFill="1"/>
    <xf numFmtId="9" fontId="20" fillId="0" borderId="16" xfId="7" applyFont="1" applyBorder="1"/>
    <xf numFmtId="9" fontId="20" fillId="0" borderId="0" xfId="7" applyFont="1" applyBorder="1"/>
    <xf numFmtId="9" fontId="0" fillId="0" borderId="0" xfId="7" applyFont="1"/>
    <xf numFmtId="3" fontId="20" fillId="0" borderId="0" xfId="0" applyNumberFormat="1" applyFont="1" applyBorder="1"/>
    <xf numFmtId="3" fontId="0" fillId="0" borderId="0" xfId="7" applyNumberFormat="1" applyFont="1"/>
    <xf numFmtId="167" fontId="0" fillId="0" borderId="0" xfId="0" applyNumberFormat="1"/>
    <xf numFmtId="0" fontId="0" fillId="0" borderId="0" xfId="0" applyAlignment="1">
      <alignment vertical="top"/>
    </xf>
    <xf numFmtId="0" fontId="35" fillId="0" borderId="0" xfId="0" applyFont="1"/>
    <xf numFmtId="0" fontId="34" fillId="14" borderId="0" xfId="0" applyFont="1" applyFill="1"/>
    <xf numFmtId="0" fontId="34" fillId="14" borderId="0" xfId="0" applyFont="1" applyFill="1" applyAlignment="1">
      <alignment horizontal="center"/>
    </xf>
    <xf numFmtId="9" fontId="34" fillId="14" borderId="0" xfId="7" applyFont="1" applyFill="1" applyAlignment="1">
      <alignment horizontal="center"/>
    </xf>
    <xf numFmtId="9" fontId="34" fillId="14" borderId="0" xfId="7" applyFont="1" applyFill="1" applyAlignment="1">
      <alignment horizontal="center" wrapText="1"/>
    </xf>
    <xf numFmtId="3" fontId="34" fillId="14" borderId="0" xfId="0" applyNumberFormat="1" applyFont="1" applyFill="1" applyAlignment="1">
      <alignment horizontal="center" wrapText="1"/>
    </xf>
    <xf numFmtId="0" fontId="14" fillId="0" borderId="0" xfId="3" applyFont="1" applyFill="1" applyBorder="1"/>
    <xf numFmtId="3" fontId="5" fillId="0" borderId="0" xfId="0" applyNumberFormat="1" applyFont="1" applyAlignment="1">
      <alignment horizontal="right"/>
    </xf>
    <xf numFmtId="3" fontId="4" fillId="0" borderId="0" xfId="0" applyNumberFormat="1" applyFont="1" applyAlignment="1"/>
    <xf numFmtId="3" fontId="4" fillId="0" borderId="0" xfId="0" applyNumberFormat="1" applyFont="1" applyFill="1" applyBorder="1" applyAlignment="1"/>
    <xf numFmtId="3" fontId="4" fillId="0" borderId="0" xfId="0" applyNumberFormat="1" applyFont="1" applyAlignment="1">
      <alignment vertical="center" wrapText="1"/>
    </xf>
    <xf numFmtId="3" fontId="0" fillId="0" borderId="0" xfId="0" applyNumberFormat="1" applyFont="1" applyAlignment="1"/>
    <xf numFmtId="0" fontId="0" fillId="0" borderId="0" xfId="0"/>
    <xf numFmtId="3" fontId="5" fillId="0" borderId="0" xfId="0" applyNumberFormat="1" applyFont="1" applyAlignment="1"/>
    <xf numFmtId="3" fontId="5" fillId="0" borderId="0" xfId="0" applyNumberFormat="1" applyFont="1" applyFill="1" applyBorder="1" applyAlignment="1"/>
    <xf numFmtId="3" fontId="5" fillId="0" borderId="0" xfId="0" applyNumberFormat="1" applyFont="1" applyAlignment="1">
      <alignment vertical="center" wrapText="1"/>
    </xf>
    <xf numFmtId="2" fontId="23" fillId="0" borderId="0" xfId="0" applyNumberFormat="1" applyFont="1"/>
    <xf numFmtId="2" fontId="23" fillId="0" borderId="0" xfId="7" applyNumberFormat="1" applyFont="1"/>
    <xf numFmtId="0" fontId="24" fillId="0" borderId="0" xfId="0" applyNumberFormat="1" applyFont="1" applyAlignment="1">
      <alignment horizontal="right"/>
    </xf>
    <xf numFmtId="0" fontId="23" fillId="0" borderId="0" xfId="0" applyNumberFormat="1" applyFont="1" applyFill="1" applyBorder="1"/>
    <xf numFmtId="0" fontId="23" fillId="0" borderId="0" xfId="0" applyNumberFormat="1" applyFont="1"/>
    <xf numFmtId="0" fontId="23" fillId="0" borderId="0" xfId="7" applyNumberFormat="1" applyFont="1"/>
    <xf numFmtId="3" fontId="4" fillId="5" borderId="0" xfId="0" applyNumberFormat="1" applyFont="1" applyFill="1" applyBorder="1"/>
    <xf numFmtId="164" fontId="23" fillId="10" borderId="0" xfId="11" applyNumberFormat="1" applyFont="1" applyBorder="1"/>
    <xf numFmtId="0" fontId="4" fillId="11" borderId="0" xfId="0" applyFont="1" applyFill="1"/>
    <xf numFmtId="164" fontId="5" fillId="0" borderId="0" xfId="7" applyNumberFormat="1" applyFont="1"/>
    <xf numFmtId="3" fontId="23" fillId="0" borderId="0" xfId="7" applyNumberFormat="1" applyFont="1" applyBorder="1"/>
    <xf numFmtId="0" fontId="23" fillId="3" borderId="0" xfId="0" applyFont="1" applyFill="1" applyBorder="1"/>
    <xf numFmtId="0" fontId="24" fillId="0" borderId="0" xfId="0" applyFont="1" applyFill="1" applyAlignment="1">
      <alignment horizontal="right"/>
    </xf>
    <xf numFmtId="2" fontId="4" fillId="0" borderId="0" xfId="0" applyNumberFormat="1" applyFont="1" applyBorder="1"/>
    <xf numFmtId="0" fontId="0" fillId="11" borderId="0" xfId="0" applyFill="1" applyBorder="1"/>
    <xf numFmtId="0" fontId="4" fillId="11" borderId="0" xfId="0" applyFont="1" applyFill="1" applyBorder="1"/>
    <xf numFmtId="0" fontId="4" fillId="0" borderId="0" xfId="0" applyFont="1" applyFill="1"/>
    <xf numFmtId="4" fontId="4" fillId="0" borderId="0" xfId="0" applyNumberFormat="1" applyFont="1"/>
    <xf numFmtId="0" fontId="0" fillId="11" borderId="0" xfId="0" applyFill="1"/>
    <xf numFmtId="0" fontId="17" fillId="0" borderId="0" xfId="0" applyFont="1" applyBorder="1"/>
    <xf numFmtId="3" fontId="4" fillId="11" borderId="0" xfId="7" applyNumberFormat="1" applyFont="1" applyFill="1"/>
    <xf numFmtId="0" fontId="4" fillId="13" borderId="0" xfId="0" applyFont="1" applyFill="1" applyBorder="1"/>
    <xf numFmtId="0" fontId="0" fillId="15" borderId="0" xfId="0" applyFill="1"/>
    <xf numFmtId="0" fontId="4" fillId="15" borderId="0" xfId="0" applyNumberFormat="1" applyFont="1" applyFill="1"/>
    <xf numFmtId="0" fontId="12" fillId="15" borderId="0" xfId="0" applyNumberFormat="1" applyFont="1" applyFill="1" applyAlignment="1">
      <alignment horizontal="right"/>
    </xf>
    <xf numFmtId="0" fontId="4" fillId="15" borderId="0" xfId="0" applyNumberFormat="1" applyFont="1" applyFill="1" applyBorder="1"/>
    <xf numFmtId="0" fontId="4" fillId="15" borderId="0" xfId="7" applyNumberFormat="1" applyFont="1" applyFill="1"/>
    <xf numFmtId="3" fontId="4" fillId="15" borderId="0" xfId="7" applyNumberFormat="1" applyFont="1" applyFill="1"/>
    <xf numFmtId="9" fontId="23" fillId="0" borderId="0" xfId="7" applyFont="1"/>
    <xf numFmtId="10" fontId="23" fillId="0" borderId="0" xfId="7" applyNumberFormat="1" applyFont="1"/>
    <xf numFmtId="0" fontId="23" fillId="11" borderId="0" xfId="0" applyFont="1" applyFill="1"/>
    <xf numFmtId="0" fontId="34" fillId="16" borderId="0" xfId="0" applyFont="1" applyFill="1"/>
    <xf numFmtId="9" fontId="34" fillId="16" borderId="0" xfId="7" applyFont="1" applyFill="1"/>
    <xf numFmtId="9" fontId="34" fillId="16" borderId="0" xfId="7" applyFont="1" applyFill="1" applyAlignment="1">
      <alignment wrapText="1"/>
    </xf>
    <xf numFmtId="3" fontId="34" fillId="16" borderId="0" xfId="0" applyNumberFormat="1" applyFont="1" applyFill="1" applyAlignment="1">
      <alignment wrapText="1"/>
    </xf>
    <xf numFmtId="166" fontId="5" fillId="0" borderId="0" xfId="6" applyNumberFormat="1" applyFont="1" applyBorder="1"/>
    <xf numFmtId="9" fontId="0" fillId="0" borderId="0" xfId="7" applyNumberFormat="1" applyFont="1"/>
    <xf numFmtId="0" fontId="4" fillId="0" borderId="0" xfId="11" applyFont="1" applyFill="1"/>
    <xf numFmtId="0" fontId="4" fillId="0" borderId="0" xfId="10" applyFont="1" applyFill="1"/>
    <xf numFmtId="0" fontId="0" fillId="0" borderId="0" xfId="0" applyAlignment="1">
      <alignment horizontal="left"/>
    </xf>
    <xf numFmtId="164" fontId="19" fillId="0" borderId="0" xfId="7" applyNumberFormat="1" applyFont="1"/>
    <xf numFmtId="0" fontId="0" fillId="17" borderId="0" xfId="0" applyFill="1"/>
    <xf numFmtId="0" fontId="0" fillId="3" borderId="4" xfId="0" applyFill="1" applyBorder="1"/>
    <xf numFmtId="0" fontId="4" fillId="13" borderId="0" xfId="0" applyFont="1" applyFill="1"/>
    <xf numFmtId="0" fontId="4" fillId="0" borderId="0" xfId="0" applyFont="1" applyFill="1" applyBorder="1" applyAlignment="1">
      <alignment horizontal="left" vertical="top"/>
    </xf>
    <xf numFmtId="0" fontId="4" fillId="0" borderId="7" xfId="0" applyFont="1" applyFill="1" applyBorder="1" applyAlignment="1">
      <alignment horizontal="left"/>
    </xf>
    <xf numFmtId="0" fontId="4" fillId="3" borderId="0" xfId="0" applyFont="1" applyFill="1" applyBorder="1" applyAlignment="1">
      <alignment horizontal="center" vertical="top" wrapText="1"/>
    </xf>
    <xf numFmtId="0" fontId="4" fillId="3" borderId="0" xfId="0" applyFont="1" applyFill="1" applyBorder="1" applyAlignment="1">
      <alignment horizontal="right" vertical="top"/>
    </xf>
    <xf numFmtId="43" fontId="4" fillId="3" borderId="0" xfId="1" applyFont="1" applyFill="1" applyBorder="1" applyAlignment="1">
      <alignment horizontal="center" vertical="top" wrapText="1"/>
    </xf>
    <xf numFmtId="0" fontId="4" fillId="3" borderId="7" xfId="0" applyFont="1" applyFill="1" applyBorder="1"/>
    <xf numFmtId="0" fontId="4" fillId="3" borderId="0" xfId="0" applyFont="1" applyFill="1" applyBorder="1"/>
    <xf numFmtId="0" fontId="4" fillId="3" borderId="7" xfId="0" applyFont="1" applyFill="1" applyBorder="1" applyAlignment="1">
      <alignment horizontal="center"/>
    </xf>
    <xf numFmtId="3" fontId="39" fillId="0" borderId="0" xfId="0" applyNumberFormat="1" applyFont="1" applyAlignment="1">
      <alignment horizontal="right"/>
    </xf>
    <xf numFmtId="0" fontId="4" fillId="0" borderId="0" xfId="0" applyFont="1" applyFill="1" applyBorder="1" applyAlignment="1">
      <alignment vertical="top"/>
    </xf>
    <xf numFmtId="14" fontId="4" fillId="0" borderId="0" xfId="0" applyNumberFormat="1" applyFont="1" applyFill="1" applyBorder="1" applyAlignment="1">
      <alignment horizontal="right" vertical="top"/>
    </xf>
    <xf numFmtId="0" fontId="0" fillId="12" borderId="0" xfId="0" applyFill="1" applyBorder="1"/>
    <xf numFmtId="3" fontId="12" fillId="0" borderId="0" xfId="0" applyNumberFormat="1" applyFont="1" applyAlignment="1">
      <alignment horizontal="center" vertical="center" wrapText="1"/>
    </xf>
    <xf numFmtId="0" fontId="13" fillId="0" borderId="0" xfId="3"/>
    <xf numFmtId="168" fontId="0" fillId="0" borderId="0" xfId="1" applyNumberFormat="1" applyFont="1" applyBorder="1"/>
    <xf numFmtId="168" fontId="0" fillId="0" borderId="0" xfId="1" applyNumberFormat="1" applyFont="1"/>
    <xf numFmtId="1" fontId="0" fillId="0" borderId="0" xfId="1" applyNumberFormat="1" applyFont="1"/>
    <xf numFmtId="1" fontId="0" fillId="0" borderId="0" xfId="0" applyNumberFormat="1"/>
    <xf numFmtId="0" fontId="0" fillId="3" borderId="0" xfId="0" applyFill="1" applyBorder="1"/>
    <xf numFmtId="3" fontId="0" fillId="3" borderId="0" xfId="0" applyNumberFormat="1" applyFill="1" applyBorder="1"/>
    <xf numFmtId="8" fontId="0" fillId="0" borderId="0" xfId="0" applyNumberFormat="1"/>
    <xf numFmtId="6" fontId="0" fillId="0" borderId="0" xfId="0" applyNumberFormat="1"/>
    <xf numFmtId="3" fontId="4" fillId="0" borderId="0" xfId="0" applyNumberFormat="1" applyFont="1" applyFill="1"/>
    <xf numFmtId="3" fontId="1" fillId="0" borderId="0" xfId="6" applyNumberFormat="1" applyFont="1" applyFill="1" applyBorder="1"/>
    <xf numFmtId="168" fontId="0" fillId="0" borderId="0" xfId="0" applyNumberFormat="1" applyFill="1" applyBorder="1"/>
    <xf numFmtId="14" fontId="0" fillId="0" borderId="0" xfId="0" applyNumberFormat="1" applyFill="1" applyBorder="1" applyAlignment="1">
      <alignment horizontal="center"/>
    </xf>
    <xf numFmtId="43" fontId="0" fillId="0" borderId="0" xfId="0" applyNumberFormat="1" applyFill="1" applyBorder="1"/>
    <xf numFmtId="14" fontId="0" fillId="0" borderId="0" xfId="0" applyNumberFormat="1"/>
    <xf numFmtId="0" fontId="38" fillId="0" borderId="0" xfId="13" applyFill="1"/>
    <xf numFmtId="9" fontId="5" fillId="0" borderId="0" xfId="7" applyFont="1"/>
    <xf numFmtId="43" fontId="5" fillId="0" borderId="0" xfId="1" applyFont="1"/>
    <xf numFmtId="10" fontId="0" fillId="0" borderId="0" xfId="7" applyNumberFormat="1" applyFont="1"/>
    <xf numFmtId="10" fontId="5" fillId="0" borderId="0" xfId="7" applyNumberFormat="1" applyFont="1"/>
    <xf numFmtId="9" fontId="0" fillId="0" borderId="4" xfId="7" applyFont="1" applyBorder="1"/>
    <xf numFmtId="0" fontId="4" fillId="0" borderId="0" xfId="0" applyFont="1" applyFill="1" applyAlignment="1">
      <alignment horizontal="left"/>
    </xf>
    <xf numFmtId="0" fontId="14" fillId="0" borderId="0" xfId="3" applyFont="1" applyFill="1"/>
    <xf numFmtId="14" fontId="3" fillId="0" borderId="2" xfId="0" applyNumberFormat="1" applyFont="1" applyBorder="1" applyAlignment="1"/>
    <xf numFmtId="43" fontId="11" fillId="0" borderId="6" xfId="1" applyFont="1" applyFill="1" applyBorder="1" applyAlignment="1">
      <alignment horizontal="center" vertical="top" wrapText="1"/>
    </xf>
    <xf numFmtId="43" fontId="11" fillId="0" borderId="1" xfId="1" applyFont="1" applyFill="1" applyBorder="1" applyAlignment="1">
      <alignment horizontal="center" vertical="top" wrapText="1"/>
    </xf>
    <xf numFmtId="0" fontId="11" fillId="0" borderId="6" xfId="0" applyFont="1" applyFill="1" applyBorder="1" applyAlignment="1">
      <alignment horizontal="center" vertical="top"/>
    </xf>
    <xf numFmtId="0" fontId="11" fillId="0" borderId="5" xfId="0" applyFont="1" applyFill="1" applyBorder="1" applyAlignment="1">
      <alignment horizontal="center" vertical="top"/>
    </xf>
    <xf numFmtId="0" fontId="11" fillId="0" borderId="10" xfId="0" applyFont="1" applyFill="1" applyBorder="1" applyAlignment="1">
      <alignment horizontal="center"/>
    </xf>
    <xf numFmtId="0" fontId="11" fillId="0" borderId="8" xfId="0" applyFont="1" applyFill="1" applyBorder="1" applyAlignment="1">
      <alignment horizontal="center"/>
    </xf>
    <xf numFmtId="0" fontId="11" fillId="0" borderId="1" xfId="0" applyFont="1" applyFill="1" applyBorder="1" applyAlignment="1">
      <alignment horizontal="center" vertical="top"/>
    </xf>
    <xf numFmtId="0" fontId="11" fillId="0" borderId="6" xfId="0" applyFont="1" applyFill="1" applyBorder="1" applyAlignment="1">
      <alignment horizontal="center" vertical="top" wrapText="1"/>
    </xf>
    <xf numFmtId="0" fontId="11" fillId="0" borderId="1" xfId="0" applyFont="1" applyFill="1" applyBorder="1" applyAlignment="1">
      <alignment horizontal="center" vertical="top" wrapText="1"/>
    </xf>
    <xf numFmtId="0" fontId="0" fillId="0" borderId="0" xfId="0" applyAlignment="1">
      <alignment horizontal="left" wrapText="1"/>
    </xf>
  </cellXfs>
  <cellStyles count="14">
    <cellStyle name="Bad" xfId="11" builtinId="27"/>
    <cellStyle name="Comma" xfId="1" builtinId="3"/>
    <cellStyle name="Currency" xfId="6" builtinId="4"/>
    <cellStyle name="Good" xfId="10" builtinId="26"/>
    <cellStyle name="Hyperlink" xfId="3" builtinId="8"/>
    <cellStyle name="Neutral" xfId="8" builtinId="28"/>
    <cellStyle name="Normal" xfId="0" builtinId="0"/>
    <cellStyle name="Normal 2" xfId="4" xr:uid="{2109A397-F9A4-47EA-9288-80DCE4464387}"/>
    <cellStyle name="Normal 3" xfId="12" xr:uid="{616646D4-A730-41B2-B0B6-60F906625B9B}"/>
    <cellStyle name="Normal 4" xfId="9" xr:uid="{6671FB14-4383-47BA-87C2-C5160874461F}"/>
    <cellStyle name="Normal 5" xfId="13" xr:uid="{A1E386FC-C4D2-47FB-9A8E-C4600925C1D2}"/>
    <cellStyle name="Normal 9" xfId="5" xr:uid="{A1B3E13A-BA90-4F0F-B071-D5264C7DF5C7}"/>
    <cellStyle name="Normal_Sheet3" xfId="2" xr:uid="{554098C8-0E07-4138-9A41-7EA4C6C5BF2B}"/>
    <cellStyle name="Percent" xfId="7" builtinId="5"/>
  </cellStyles>
  <dxfs count="0"/>
  <tableStyles count="0" defaultTableStyle="TableStyleMedium2" defaultPivotStyle="PivotStyleLight16"/>
  <colors>
    <mruColors>
      <color rgb="FFEE00EE"/>
      <color rgb="FF9999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Location of Actual Growth</a:t>
            </a:r>
          </a:p>
        </c:rich>
      </c:tx>
      <c:layout>
        <c:manualLayout>
          <c:xMode val="edge"/>
          <c:yMode val="edge"/>
          <c:x val="3.4596812165797214E-2"/>
          <c:y val="5.0749711649365627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57704088054713"/>
          <c:y val="5.0925925925925923E-2"/>
          <c:w val="0.82424622499452227"/>
          <c:h val="0.8416746864975212"/>
        </c:manualLayout>
      </c:layout>
      <c:barChart>
        <c:barDir val="col"/>
        <c:grouping val="percentStacked"/>
        <c:varyColors val="0"/>
        <c:ser>
          <c:idx val="1"/>
          <c:order val="0"/>
          <c:tx>
            <c:strRef>
              <c:f>Indicators!$C$211</c:f>
              <c:strCache>
                <c:ptCount val="1"/>
                <c:pt idx="0">
                  <c:v>Percentage of New Residential Units in Complete Neighborhoods</c:v>
                </c:pt>
              </c:strCache>
            </c:strRef>
          </c:tx>
          <c:spPr>
            <a:solidFill>
              <a:schemeClr val="accent2"/>
            </a:solidFill>
            <a:ln w="19050">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Indicators!$I$211:$AK$211</c:f>
              <c:numCache>
                <c:formatCode>0%</c:formatCode>
                <c:ptCount val="29"/>
                <c:pt idx="0">
                  <c:v>0.54838709677419351</c:v>
                </c:pt>
                <c:pt idx="1">
                  <c:v>0.67914438502673802</c:v>
                </c:pt>
                <c:pt idx="2">
                  <c:v>0.58878504672897192</c:v>
                </c:pt>
                <c:pt idx="3">
                  <c:v>0.51282051282051277</c:v>
                </c:pt>
                <c:pt idx="4">
                  <c:v>0.57587548638132291</c:v>
                </c:pt>
                <c:pt idx="5">
                  <c:v>0.4759036144578313</c:v>
                </c:pt>
                <c:pt idx="6">
                  <c:v>0.51515151515151514</c:v>
                </c:pt>
                <c:pt idx="7">
                  <c:v>0.5524861878453039</c:v>
                </c:pt>
                <c:pt idx="8">
                  <c:v>0.48823529411764705</c:v>
                </c:pt>
                <c:pt idx="9">
                  <c:v>0.39705882352941174</c:v>
                </c:pt>
                <c:pt idx="10">
                  <c:v>0.53731343283582089</c:v>
                </c:pt>
                <c:pt idx="11">
                  <c:v>0.55555555555555558</c:v>
                </c:pt>
                <c:pt idx="12">
                  <c:v>0.56603773584905659</c:v>
                </c:pt>
                <c:pt idx="13">
                  <c:v>0.61417322834645671</c:v>
                </c:pt>
                <c:pt idx="14">
                  <c:v>0.60150375939849621</c:v>
                </c:pt>
                <c:pt idx="15">
                  <c:v>0.54761904761904767</c:v>
                </c:pt>
                <c:pt idx="16">
                  <c:v>0.68156424581005581</c:v>
                </c:pt>
                <c:pt idx="17">
                  <c:v>0.65137614678899081</c:v>
                </c:pt>
                <c:pt idx="18">
                  <c:v>0.73873873873873874</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1-782D-4615-AEF6-48E799AC175E}"/>
            </c:ext>
          </c:extLst>
        </c:ser>
        <c:ser>
          <c:idx val="0"/>
          <c:order val="1"/>
          <c:tx>
            <c:strRef>
              <c:f>Indicators!$C$210</c:f>
              <c:strCache>
                <c:ptCount val="1"/>
                <c:pt idx="0">
                  <c:v>Percentage of New Residential Units in Rural Areas</c:v>
                </c:pt>
              </c:strCache>
            </c:strRef>
          </c:tx>
          <c:spPr>
            <a:solidFill>
              <a:schemeClr val="accent6"/>
            </a:solidFill>
            <a:ln w="25400">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Indicators!$I$210:$AK$210</c:f>
              <c:numCache>
                <c:formatCode>0%</c:formatCode>
                <c:ptCount val="29"/>
                <c:pt idx="0">
                  <c:v>0.45161290322580644</c:v>
                </c:pt>
                <c:pt idx="1">
                  <c:v>0.32085561497326204</c:v>
                </c:pt>
                <c:pt idx="2">
                  <c:v>0.41121495327102803</c:v>
                </c:pt>
                <c:pt idx="3">
                  <c:v>0.48717948717948717</c:v>
                </c:pt>
                <c:pt idx="4">
                  <c:v>0.42412451361867703</c:v>
                </c:pt>
                <c:pt idx="5">
                  <c:v>0.52409638554216864</c:v>
                </c:pt>
                <c:pt idx="6">
                  <c:v>0.48484848484848486</c:v>
                </c:pt>
                <c:pt idx="7">
                  <c:v>0.44751381215469616</c:v>
                </c:pt>
                <c:pt idx="8">
                  <c:v>0.5117647058823529</c:v>
                </c:pt>
                <c:pt idx="9">
                  <c:v>0.6029411764705882</c:v>
                </c:pt>
                <c:pt idx="10">
                  <c:v>0.46268656716417911</c:v>
                </c:pt>
                <c:pt idx="11">
                  <c:v>0.44444444444444442</c:v>
                </c:pt>
                <c:pt idx="12">
                  <c:v>0.43396226415094341</c:v>
                </c:pt>
                <c:pt idx="13">
                  <c:v>0.38582677165354329</c:v>
                </c:pt>
                <c:pt idx="14">
                  <c:v>0.39849624060150374</c:v>
                </c:pt>
                <c:pt idx="15">
                  <c:v>0.45238095238095238</c:v>
                </c:pt>
                <c:pt idx="16">
                  <c:v>0.31843575418994413</c:v>
                </c:pt>
                <c:pt idx="17">
                  <c:v>0.34862385321100919</c:v>
                </c:pt>
                <c:pt idx="18">
                  <c:v>0.26126126126126126</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782D-4615-AEF6-48E799AC175E}"/>
            </c:ext>
          </c:extLst>
        </c:ser>
        <c:dLbls>
          <c:showLegendKey val="0"/>
          <c:showVal val="0"/>
          <c:showCatName val="0"/>
          <c:showSerName val="0"/>
          <c:showPercent val="0"/>
          <c:showBubbleSize val="0"/>
        </c:dLbls>
        <c:gapWidth val="150"/>
        <c:overlap val="100"/>
        <c:axId val="820790392"/>
        <c:axId val="820794232"/>
      </c:barChart>
      <c:lineChart>
        <c:grouping val="standard"/>
        <c:varyColors val="0"/>
        <c:ser>
          <c:idx val="2"/>
          <c:order val="2"/>
          <c:tx>
            <c:strRef>
              <c:f>Indicators!$C$212</c:f>
              <c:strCache>
                <c:ptCount val="1"/>
                <c:pt idx="0">
                  <c:v>New Residential Units</c:v>
                </c:pt>
              </c:strCache>
            </c:strRef>
          </c:tx>
          <c:spPr>
            <a:ln w="19050" cap="rnd">
              <a:solidFill>
                <a:schemeClr val="accent3"/>
              </a:solidFill>
              <a:prstDash val="sysDot"/>
              <a:round/>
            </a:ln>
            <a:effectLst/>
          </c:spPr>
          <c:marker>
            <c:symbol val="circle"/>
            <c:size val="5"/>
            <c:spPr>
              <a:solidFill>
                <a:schemeClr val="accent3"/>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Indicators!$I$212:$AK$212</c:f>
              <c:numCache>
                <c:formatCode>#,##0</c:formatCode>
                <c:ptCount val="29"/>
                <c:pt idx="0">
                  <c:v>62</c:v>
                </c:pt>
                <c:pt idx="1">
                  <c:v>187</c:v>
                </c:pt>
                <c:pt idx="2">
                  <c:v>321</c:v>
                </c:pt>
                <c:pt idx="3">
                  <c:v>156</c:v>
                </c:pt>
                <c:pt idx="4">
                  <c:v>257</c:v>
                </c:pt>
                <c:pt idx="5">
                  <c:v>166</c:v>
                </c:pt>
                <c:pt idx="6">
                  <c:v>165</c:v>
                </c:pt>
                <c:pt idx="7">
                  <c:v>181</c:v>
                </c:pt>
                <c:pt idx="8">
                  <c:v>170</c:v>
                </c:pt>
                <c:pt idx="9">
                  <c:v>68</c:v>
                </c:pt>
                <c:pt idx="10">
                  <c:v>67</c:v>
                </c:pt>
                <c:pt idx="11">
                  <c:v>63</c:v>
                </c:pt>
                <c:pt idx="12">
                  <c:v>106</c:v>
                </c:pt>
                <c:pt idx="13">
                  <c:v>127</c:v>
                </c:pt>
                <c:pt idx="14">
                  <c:v>133</c:v>
                </c:pt>
                <c:pt idx="15">
                  <c:v>126</c:v>
                </c:pt>
                <c:pt idx="16">
                  <c:v>179</c:v>
                </c:pt>
                <c:pt idx="17">
                  <c:v>218</c:v>
                </c:pt>
                <c:pt idx="18">
                  <c:v>222</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3-782D-4615-AEF6-48E799AC175E}"/>
            </c:ext>
          </c:extLst>
        </c:ser>
        <c:dLbls>
          <c:showLegendKey val="0"/>
          <c:showVal val="0"/>
          <c:showCatName val="0"/>
          <c:showSerName val="0"/>
          <c:showPercent val="0"/>
          <c:showBubbleSize val="0"/>
        </c:dLbls>
        <c:marker val="1"/>
        <c:smooth val="0"/>
        <c:axId val="820799672"/>
        <c:axId val="82079711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 new residential units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valAx>
        <c:axId val="82079711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New residential units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9672"/>
        <c:crosses val="max"/>
        <c:crossBetween val="between"/>
      </c:valAx>
      <c:catAx>
        <c:axId val="820799672"/>
        <c:scaling>
          <c:orientation val="minMax"/>
        </c:scaling>
        <c:delete val="1"/>
        <c:axPos val="b"/>
        <c:numFmt formatCode="General" sourceLinked="1"/>
        <c:majorTickMark val="out"/>
        <c:minorTickMark val="none"/>
        <c:tickLblPos val="nextTo"/>
        <c:crossAx val="820797112"/>
        <c:crosses val="autoZero"/>
        <c:auto val="1"/>
        <c:lblAlgn val="ctr"/>
        <c:lblOffset val="100"/>
        <c:noMultiLvlLbl val="0"/>
      </c:catAx>
      <c:spPr>
        <a:noFill/>
        <a:ln>
          <a:noFill/>
        </a:ln>
        <a:effectLst/>
      </c:spPr>
    </c:plotArea>
    <c:legend>
      <c:legendPos val="l"/>
      <c:layout>
        <c:manualLayout>
          <c:xMode val="edge"/>
          <c:yMode val="edge"/>
          <c:x val="2.8781769951935408E-2"/>
          <c:y val="0.20658147835326812"/>
          <c:w val="8.2722563127884854E-2"/>
          <c:h val="0.568687028308312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Jobs by Industry</a:t>
            </a:r>
          </a:p>
        </c:rich>
      </c:tx>
      <c:layout>
        <c:manualLayout>
          <c:xMode val="edge"/>
          <c:yMode val="edge"/>
          <c:x val="8.1616549899766452E-2"/>
          <c:y val="0.14814814814814814"/>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444802041119235"/>
          <c:y val="5.0925925925925923E-2"/>
          <c:w val="0.83048444642343833"/>
          <c:h val="0.8657407407407407"/>
        </c:manualLayout>
      </c:layout>
      <c:barChart>
        <c:barDir val="col"/>
        <c:grouping val="stacked"/>
        <c:varyColors val="0"/>
        <c:ser>
          <c:idx val="0"/>
          <c:order val="0"/>
          <c:tx>
            <c:strRef>
              <c:f>Indicators!$C$846</c:f>
              <c:strCache>
                <c:ptCount val="1"/>
                <c:pt idx="0">
                  <c:v>Farm employment</c:v>
                </c:pt>
              </c:strCache>
            </c:strRef>
          </c:tx>
          <c:spPr>
            <a:solidFill>
              <a:schemeClr val="accent1"/>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Indicators!$I$846:$AK$846</c:f>
              <c:numCache>
                <c:formatCode>#,##0</c:formatCode>
                <c:ptCount val="29"/>
                <c:pt idx="0">
                  <c:v>159</c:v>
                </c:pt>
                <c:pt idx="1">
                  <c:v>153</c:v>
                </c:pt>
                <c:pt idx="2">
                  <c:v>155</c:v>
                </c:pt>
                <c:pt idx="3">
                  <c:v>156</c:v>
                </c:pt>
                <c:pt idx="4">
                  <c:v>156</c:v>
                </c:pt>
                <c:pt idx="5">
                  <c:v>178</c:v>
                </c:pt>
                <c:pt idx="6">
                  <c:v>181</c:v>
                </c:pt>
                <c:pt idx="7">
                  <c:v>177</c:v>
                </c:pt>
                <c:pt idx="8">
                  <c:v>181</c:v>
                </c:pt>
                <c:pt idx="9">
                  <c:v>190</c:v>
                </c:pt>
                <c:pt idx="10">
                  <c:v>193</c:v>
                </c:pt>
                <c:pt idx="11">
                  <c:v>195</c:v>
                </c:pt>
                <c:pt idx="12">
                  <c:v>200</c:v>
                </c:pt>
                <c:pt idx="13">
                  <c:v>212</c:v>
                </c:pt>
                <c:pt idx="14">
                  <c:v>218</c:v>
                </c:pt>
                <c:pt idx="15">
                  <c:v>225</c:v>
                </c:pt>
                <c:pt idx="16">
                  <c:v>217</c:v>
                </c:pt>
                <c:pt idx="17">
                  <c:v>222</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828A-4AA5-9E94-4F2ACDDD0680}"/>
            </c:ext>
          </c:extLst>
        </c:ser>
        <c:ser>
          <c:idx val="1"/>
          <c:order val="1"/>
          <c:tx>
            <c:strRef>
              <c:f>Indicators!$C$847</c:f>
              <c:strCache>
                <c:ptCount val="1"/>
                <c:pt idx="0">
                  <c:v>Forestry, fishing, and related activities</c:v>
                </c:pt>
              </c:strCache>
            </c:strRef>
          </c:tx>
          <c:spPr>
            <a:solidFill>
              <a:schemeClr val="accent2"/>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Indicators!$I$847:$AK$847</c:f>
              <c:numCache>
                <c:formatCode>#,##0</c:formatCode>
                <c:ptCount val="29"/>
                <c:pt idx="0">
                  <c:v>0</c:v>
                </c:pt>
                <c:pt idx="1">
                  <c:v>0</c:v>
                </c:pt>
                <c:pt idx="2">
                  <c:v>0</c:v>
                </c:pt>
                <c:pt idx="3">
                  <c:v>106</c:v>
                </c:pt>
                <c:pt idx="4">
                  <c:v>108</c:v>
                </c:pt>
                <c:pt idx="5">
                  <c:v>0</c:v>
                </c:pt>
                <c:pt idx="6">
                  <c:v>125</c:v>
                </c:pt>
                <c:pt idx="7">
                  <c:v>129</c:v>
                </c:pt>
                <c:pt idx="8">
                  <c:v>141</c:v>
                </c:pt>
                <c:pt idx="9">
                  <c:v>0</c:v>
                </c:pt>
                <c:pt idx="10">
                  <c:v>0</c:v>
                </c:pt>
                <c:pt idx="11">
                  <c:v>157</c:v>
                </c:pt>
                <c:pt idx="12">
                  <c:v>0</c:v>
                </c:pt>
                <c:pt idx="13">
                  <c:v>127</c:v>
                </c:pt>
                <c:pt idx="14">
                  <c:v>144</c:v>
                </c:pt>
                <c:pt idx="15">
                  <c:v>144</c:v>
                </c:pt>
                <c:pt idx="16">
                  <c:v>148</c:v>
                </c:pt>
                <c:pt idx="17">
                  <c:v>159</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1-828A-4AA5-9E94-4F2ACDDD0680}"/>
            </c:ext>
          </c:extLst>
        </c:ser>
        <c:ser>
          <c:idx val="2"/>
          <c:order val="2"/>
          <c:tx>
            <c:strRef>
              <c:f>Indicators!$C$848</c:f>
              <c:strCache>
                <c:ptCount val="1"/>
                <c:pt idx="0">
                  <c:v>Mining</c:v>
                </c:pt>
              </c:strCache>
            </c:strRef>
          </c:tx>
          <c:spPr>
            <a:solidFill>
              <a:schemeClr val="accent3"/>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Indicators!$I$848:$AK$848</c:f>
              <c:numCache>
                <c:formatCode>#,##0</c:formatCode>
                <c:ptCount val="29"/>
                <c:pt idx="0">
                  <c:v>0</c:v>
                </c:pt>
                <c:pt idx="1">
                  <c:v>0</c:v>
                </c:pt>
                <c:pt idx="2">
                  <c:v>0</c:v>
                </c:pt>
                <c:pt idx="3">
                  <c:v>99</c:v>
                </c:pt>
                <c:pt idx="4">
                  <c:v>154</c:v>
                </c:pt>
                <c:pt idx="5">
                  <c:v>0</c:v>
                </c:pt>
                <c:pt idx="6">
                  <c:v>220</c:v>
                </c:pt>
                <c:pt idx="7">
                  <c:v>189</c:v>
                </c:pt>
                <c:pt idx="8">
                  <c:v>223</c:v>
                </c:pt>
                <c:pt idx="9">
                  <c:v>0</c:v>
                </c:pt>
                <c:pt idx="10">
                  <c:v>0</c:v>
                </c:pt>
                <c:pt idx="11">
                  <c:v>242</c:v>
                </c:pt>
                <c:pt idx="12">
                  <c:v>0</c:v>
                </c:pt>
                <c:pt idx="13">
                  <c:v>234</c:v>
                </c:pt>
                <c:pt idx="14">
                  <c:v>197</c:v>
                </c:pt>
                <c:pt idx="15">
                  <c:v>183</c:v>
                </c:pt>
                <c:pt idx="16">
                  <c:v>149</c:v>
                </c:pt>
                <c:pt idx="17">
                  <c:v>134</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2-828A-4AA5-9E94-4F2ACDDD0680}"/>
            </c:ext>
          </c:extLst>
        </c:ser>
        <c:ser>
          <c:idx val="3"/>
          <c:order val="3"/>
          <c:tx>
            <c:strRef>
              <c:f>Indicators!$C$849</c:f>
              <c:strCache>
                <c:ptCount val="1"/>
                <c:pt idx="0">
                  <c:v>Utilities</c:v>
                </c:pt>
              </c:strCache>
            </c:strRef>
          </c:tx>
          <c:spPr>
            <a:solidFill>
              <a:schemeClr val="accent4"/>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Indicators!$I$849:$AK$849</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3-828A-4AA5-9E94-4F2ACDDD0680}"/>
            </c:ext>
          </c:extLst>
        </c:ser>
        <c:ser>
          <c:idx val="4"/>
          <c:order val="4"/>
          <c:tx>
            <c:strRef>
              <c:f>Indicators!$C$850</c:f>
              <c:strCache>
                <c:ptCount val="1"/>
                <c:pt idx="0">
                  <c:v>Construction</c:v>
                </c:pt>
              </c:strCache>
            </c:strRef>
          </c:tx>
          <c:spPr>
            <a:solidFill>
              <a:schemeClr val="accent5"/>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Indicators!$I$850:$AK$850</c:f>
              <c:numCache>
                <c:formatCode>#,##0</c:formatCode>
                <c:ptCount val="29"/>
                <c:pt idx="0">
                  <c:v>3167</c:v>
                </c:pt>
                <c:pt idx="1">
                  <c:v>2826</c:v>
                </c:pt>
                <c:pt idx="2">
                  <c:v>2675</c:v>
                </c:pt>
                <c:pt idx="3">
                  <c:v>2752</c:v>
                </c:pt>
                <c:pt idx="4">
                  <c:v>2948</c:v>
                </c:pt>
                <c:pt idx="5">
                  <c:v>3169</c:v>
                </c:pt>
                <c:pt idx="6">
                  <c:v>3236</c:v>
                </c:pt>
                <c:pt idx="7">
                  <c:v>2748</c:v>
                </c:pt>
                <c:pt idx="8">
                  <c:v>2200</c:v>
                </c:pt>
                <c:pt idx="9">
                  <c:v>2206</c:v>
                </c:pt>
                <c:pt idx="10">
                  <c:v>2321</c:v>
                </c:pt>
                <c:pt idx="11">
                  <c:v>2452</c:v>
                </c:pt>
                <c:pt idx="12">
                  <c:v>2567</c:v>
                </c:pt>
                <c:pt idx="13">
                  <c:v>2672</c:v>
                </c:pt>
                <c:pt idx="14">
                  <c:v>2846</c:v>
                </c:pt>
                <c:pt idx="15">
                  <c:v>2832</c:v>
                </c:pt>
                <c:pt idx="16">
                  <c:v>2789</c:v>
                </c:pt>
                <c:pt idx="17">
                  <c:v>2930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4-828A-4AA5-9E94-4F2ACDDD0680}"/>
            </c:ext>
          </c:extLst>
        </c:ser>
        <c:ser>
          <c:idx val="5"/>
          <c:order val="5"/>
          <c:tx>
            <c:strRef>
              <c:f>Indicators!$C$851</c:f>
              <c:strCache>
                <c:ptCount val="1"/>
                <c:pt idx="0">
                  <c:v>Manufacturing</c:v>
                </c:pt>
              </c:strCache>
            </c:strRef>
          </c:tx>
          <c:spPr>
            <a:solidFill>
              <a:schemeClr val="accent6"/>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Indicators!$I$851:$AK$851</c:f>
              <c:numCache>
                <c:formatCode>#,##0</c:formatCode>
                <c:ptCount val="29"/>
                <c:pt idx="0">
                  <c:v>308</c:v>
                </c:pt>
                <c:pt idx="1">
                  <c:v>279</c:v>
                </c:pt>
                <c:pt idx="2">
                  <c:v>260</c:v>
                </c:pt>
                <c:pt idx="3">
                  <c:v>254</c:v>
                </c:pt>
                <c:pt idx="4">
                  <c:v>267</c:v>
                </c:pt>
                <c:pt idx="5">
                  <c:v>240</c:v>
                </c:pt>
                <c:pt idx="6">
                  <c:v>243</c:v>
                </c:pt>
                <c:pt idx="7">
                  <c:v>262</c:v>
                </c:pt>
                <c:pt idx="8">
                  <c:v>257</c:v>
                </c:pt>
                <c:pt idx="9">
                  <c:v>286</c:v>
                </c:pt>
                <c:pt idx="10">
                  <c:v>271</c:v>
                </c:pt>
                <c:pt idx="11">
                  <c:v>287</c:v>
                </c:pt>
                <c:pt idx="12">
                  <c:v>286</c:v>
                </c:pt>
                <c:pt idx="13">
                  <c:v>315</c:v>
                </c:pt>
                <c:pt idx="14">
                  <c:v>332</c:v>
                </c:pt>
                <c:pt idx="15">
                  <c:v>365</c:v>
                </c:pt>
                <c:pt idx="16">
                  <c:v>414</c:v>
                </c:pt>
                <c:pt idx="17">
                  <c:v>418</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5-828A-4AA5-9E94-4F2ACDDD0680}"/>
            </c:ext>
          </c:extLst>
        </c:ser>
        <c:ser>
          <c:idx val="6"/>
          <c:order val="6"/>
          <c:tx>
            <c:strRef>
              <c:f>Indicators!$C$852</c:f>
              <c:strCache>
                <c:ptCount val="1"/>
                <c:pt idx="0">
                  <c:v>Wholesale trade</c:v>
                </c:pt>
              </c:strCache>
            </c:strRef>
          </c:tx>
          <c:spPr>
            <a:solidFill>
              <a:schemeClr val="accent1">
                <a:lumMod val="6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Indicators!$I$852:$AK$852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6-828A-4AA5-9E94-4F2ACDDD0680}"/>
            </c:ext>
          </c:extLst>
        </c:ser>
        <c:ser>
          <c:idx val="7"/>
          <c:order val="7"/>
          <c:tx>
            <c:strRef>
              <c:f>Indicators!$C$853</c:f>
              <c:strCache>
                <c:ptCount val="1"/>
                <c:pt idx="0">
                  <c:v>Retail trade</c:v>
                </c:pt>
              </c:strCache>
            </c:strRef>
          </c:tx>
          <c:spPr>
            <a:solidFill>
              <a:schemeClr val="accent2">
                <a:lumMod val="6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Indicators!$I$853:$AK$853</c:f>
              <c:numCache>
                <c:formatCode>#,##0</c:formatCode>
                <c:ptCount val="29"/>
                <c:pt idx="0">
                  <c:v>2453</c:v>
                </c:pt>
                <c:pt idx="1">
                  <c:v>2300</c:v>
                </c:pt>
                <c:pt idx="2">
                  <c:v>2250</c:v>
                </c:pt>
                <c:pt idx="3">
                  <c:v>2247</c:v>
                </c:pt>
                <c:pt idx="4">
                  <c:v>2320</c:v>
                </c:pt>
                <c:pt idx="5">
                  <c:v>2360</c:v>
                </c:pt>
                <c:pt idx="6">
                  <c:v>2352</c:v>
                </c:pt>
                <c:pt idx="7">
                  <c:v>2222</c:v>
                </c:pt>
                <c:pt idx="8">
                  <c:v>2131</c:v>
                </c:pt>
                <c:pt idx="9">
                  <c:v>2141</c:v>
                </c:pt>
                <c:pt idx="10">
                  <c:v>2169</c:v>
                </c:pt>
                <c:pt idx="11">
                  <c:v>2348</c:v>
                </c:pt>
                <c:pt idx="12">
                  <c:v>2488</c:v>
                </c:pt>
                <c:pt idx="13">
                  <c:v>2641</c:v>
                </c:pt>
                <c:pt idx="14">
                  <c:v>2674</c:v>
                </c:pt>
                <c:pt idx="15">
                  <c:v>2604</c:v>
                </c:pt>
                <c:pt idx="16">
                  <c:v>2683</c:v>
                </c:pt>
                <c:pt idx="17">
                  <c:v>2683</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7-828A-4AA5-9E94-4F2ACDDD0680}"/>
            </c:ext>
          </c:extLst>
        </c:ser>
        <c:ser>
          <c:idx val="8"/>
          <c:order val="8"/>
          <c:tx>
            <c:strRef>
              <c:f>Indicators!$C$854</c:f>
              <c:strCache>
                <c:ptCount val="1"/>
                <c:pt idx="0">
                  <c:v>Transportation and warehousing</c:v>
                </c:pt>
              </c:strCache>
            </c:strRef>
          </c:tx>
          <c:spPr>
            <a:solidFill>
              <a:schemeClr val="accent3">
                <a:lumMod val="6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Indicators!$I$854:$AK$854</c:f>
              <c:numCache>
                <c:formatCode>#,##0</c:formatCode>
                <c:ptCount val="29"/>
                <c:pt idx="0">
                  <c:v>395</c:v>
                </c:pt>
                <c:pt idx="1">
                  <c:v>402</c:v>
                </c:pt>
                <c:pt idx="2">
                  <c:v>432</c:v>
                </c:pt>
                <c:pt idx="3">
                  <c:v>426</c:v>
                </c:pt>
                <c:pt idx="4">
                  <c:v>426</c:v>
                </c:pt>
                <c:pt idx="5">
                  <c:v>449</c:v>
                </c:pt>
                <c:pt idx="6">
                  <c:v>472</c:v>
                </c:pt>
                <c:pt idx="7">
                  <c:v>470</c:v>
                </c:pt>
                <c:pt idx="8">
                  <c:v>483</c:v>
                </c:pt>
                <c:pt idx="9">
                  <c:v>460</c:v>
                </c:pt>
                <c:pt idx="10">
                  <c:v>494</c:v>
                </c:pt>
                <c:pt idx="11">
                  <c:v>539</c:v>
                </c:pt>
                <c:pt idx="12">
                  <c:v>514</c:v>
                </c:pt>
                <c:pt idx="13">
                  <c:v>566</c:v>
                </c:pt>
                <c:pt idx="14">
                  <c:v>583</c:v>
                </c:pt>
                <c:pt idx="15">
                  <c:v>668</c:v>
                </c:pt>
                <c:pt idx="16">
                  <c:v>746</c:v>
                </c:pt>
                <c:pt idx="17">
                  <c:v>744</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8-828A-4AA5-9E94-4F2ACDDD0680}"/>
            </c:ext>
          </c:extLst>
        </c:ser>
        <c:ser>
          <c:idx val="9"/>
          <c:order val="9"/>
          <c:tx>
            <c:strRef>
              <c:f>Indicators!$C$855</c:f>
              <c:strCache>
                <c:ptCount val="1"/>
                <c:pt idx="0">
                  <c:v>Information</c:v>
                </c:pt>
              </c:strCache>
            </c:strRef>
          </c:tx>
          <c:spPr>
            <a:solidFill>
              <a:schemeClr val="accent4">
                <a:lumMod val="6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Indicators!$I$855:$AK$855</c:f>
              <c:numCache>
                <c:formatCode>#,##0</c:formatCode>
                <c:ptCount val="29"/>
                <c:pt idx="0">
                  <c:v>394</c:v>
                </c:pt>
                <c:pt idx="1">
                  <c:v>385</c:v>
                </c:pt>
                <c:pt idx="2">
                  <c:v>370</c:v>
                </c:pt>
                <c:pt idx="3">
                  <c:v>365</c:v>
                </c:pt>
                <c:pt idx="4">
                  <c:v>361</c:v>
                </c:pt>
                <c:pt idx="5">
                  <c:v>348</c:v>
                </c:pt>
                <c:pt idx="6">
                  <c:v>351</c:v>
                </c:pt>
                <c:pt idx="7">
                  <c:v>342</c:v>
                </c:pt>
                <c:pt idx="8">
                  <c:v>332</c:v>
                </c:pt>
                <c:pt idx="9">
                  <c:v>349</c:v>
                </c:pt>
                <c:pt idx="10">
                  <c:v>352</c:v>
                </c:pt>
                <c:pt idx="11">
                  <c:v>364</c:v>
                </c:pt>
                <c:pt idx="12">
                  <c:v>377</c:v>
                </c:pt>
                <c:pt idx="13">
                  <c:v>347</c:v>
                </c:pt>
                <c:pt idx="14">
                  <c:v>362</c:v>
                </c:pt>
                <c:pt idx="15">
                  <c:v>396</c:v>
                </c:pt>
                <c:pt idx="16">
                  <c:v>384</c:v>
                </c:pt>
                <c:pt idx="17">
                  <c:v>382</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9-828A-4AA5-9E94-4F2ACDDD0680}"/>
            </c:ext>
          </c:extLst>
        </c:ser>
        <c:ser>
          <c:idx val="10"/>
          <c:order val="10"/>
          <c:tx>
            <c:strRef>
              <c:f>Indicators!$C$856</c:f>
              <c:strCache>
                <c:ptCount val="1"/>
                <c:pt idx="0">
                  <c:v>Finance and insurance</c:v>
                </c:pt>
              </c:strCache>
            </c:strRef>
          </c:tx>
          <c:spPr>
            <a:solidFill>
              <a:schemeClr val="accent5">
                <a:lumMod val="6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Indicators!$I$856:$AK$856</c:f>
              <c:numCache>
                <c:formatCode>#,##0</c:formatCode>
                <c:ptCount val="29"/>
                <c:pt idx="0">
                  <c:v>932</c:v>
                </c:pt>
                <c:pt idx="1">
                  <c:v>1007</c:v>
                </c:pt>
                <c:pt idx="2">
                  <c:v>1054</c:v>
                </c:pt>
                <c:pt idx="3">
                  <c:v>1140</c:v>
                </c:pt>
                <c:pt idx="4">
                  <c:v>1218</c:v>
                </c:pt>
                <c:pt idx="5">
                  <c:v>1452</c:v>
                </c:pt>
                <c:pt idx="6">
                  <c:v>1670</c:v>
                </c:pt>
                <c:pt idx="7">
                  <c:v>1937</c:v>
                </c:pt>
                <c:pt idx="8">
                  <c:v>1798</c:v>
                </c:pt>
                <c:pt idx="9">
                  <c:v>2015</c:v>
                </c:pt>
                <c:pt idx="10">
                  <c:v>2067</c:v>
                </c:pt>
                <c:pt idx="11">
                  <c:v>2222</c:v>
                </c:pt>
                <c:pt idx="12">
                  <c:v>2290</c:v>
                </c:pt>
                <c:pt idx="13">
                  <c:v>2356</c:v>
                </c:pt>
                <c:pt idx="14">
                  <c:v>2457</c:v>
                </c:pt>
                <c:pt idx="15">
                  <c:v>2508</c:v>
                </c:pt>
                <c:pt idx="16">
                  <c:v>2880</c:v>
                </c:pt>
                <c:pt idx="17">
                  <c:v>2953</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A-828A-4AA5-9E94-4F2ACDDD0680}"/>
            </c:ext>
          </c:extLst>
        </c:ser>
        <c:ser>
          <c:idx val="11"/>
          <c:order val="11"/>
          <c:tx>
            <c:strRef>
              <c:f>Indicators!$C$857</c:f>
              <c:strCache>
                <c:ptCount val="1"/>
                <c:pt idx="0">
                  <c:v>Real estate and rental and leasing</c:v>
                </c:pt>
              </c:strCache>
            </c:strRef>
          </c:tx>
          <c:spPr>
            <a:solidFill>
              <a:schemeClr val="accent6">
                <a:lumMod val="6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Indicators!$I$857:$AK$857</c:f>
              <c:numCache>
                <c:formatCode>#,##0</c:formatCode>
                <c:ptCount val="29"/>
                <c:pt idx="0">
                  <c:v>1652</c:v>
                </c:pt>
                <c:pt idx="1">
                  <c:v>1682</c:v>
                </c:pt>
                <c:pt idx="2">
                  <c:v>1885</c:v>
                </c:pt>
                <c:pt idx="3">
                  <c:v>2177</c:v>
                </c:pt>
                <c:pt idx="4">
                  <c:v>2479</c:v>
                </c:pt>
                <c:pt idx="5">
                  <c:v>2679</c:v>
                </c:pt>
                <c:pt idx="6">
                  <c:v>2986</c:v>
                </c:pt>
                <c:pt idx="7">
                  <c:v>2825</c:v>
                </c:pt>
                <c:pt idx="8">
                  <c:v>2922</c:v>
                </c:pt>
                <c:pt idx="9">
                  <c:v>2940</c:v>
                </c:pt>
                <c:pt idx="10">
                  <c:v>2911</c:v>
                </c:pt>
                <c:pt idx="11">
                  <c:v>3088</c:v>
                </c:pt>
                <c:pt idx="12">
                  <c:v>3272</c:v>
                </c:pt>
                <c:pt idx="13">
                  <c:v>3268</c:v>
                </c:pt>
                <c:pt idx="14">
                  <c:v>3387</c:v>
                </c:pt>
                <c:pt idx="15">
                  <c:v>3521</c:v>
                </c:pt>
                <c:pt idx="16">
                  <c:v>3706</c:v>
                </c:pt>
                <c:pt idx="17">
                  <c:v>3874</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B-828A-4AA5-9E94-4F2ACDDD0680}"/>
            </c:ext>
          </c:extLst>
        </c:ser>
        <c:ser>
          <c:idx val="12"/>
          <c:order val="12"/>
          <c:tx>
            <c:strRef>
              <c:f>Indicators!$C$858</c:f>
              <c:strCache>
                <c:ptCount val="1"/>
                <c:pt idx="0">
                  <c:v>Professional, scientific, and technical services</c:v>
                </c:pt>
              </c:strCache>
            </c:strRef>
          </c:tx>
          <c:spPr>
            <a:solidFill>
              <a:schemeClr val="accent1">
                <a:lumMod val="80000"/>
                <a:lumOff val="2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Indicators!$I$858:$AK$858</c:f>
              <c:numCache>
                <c:formatCode>#,##0</c:formatCode>
                <c:ptCount val="29"/>
                <c:pt idx="0">
                  <c:v>1575</c:v>
                </c:pt>
                <c:pt idx="1">
                  <c:v>1574</c:v>
                </c:pt>
                <c:pt idx="2">
                  <c:v>1669</c:v>
                </c:pt>
                <c:pt idx="3">
                  <c:v>1636</c:v>
                </c:pt>
                <c:pt idx="4">
                  <c:v>1729</c:v>
                </c:pt>
                <c:pt idx="5">
                  <c:v>1915</c:v>
                </c:pt>
                <c:pt idx="6">
                  <c:v>1920</c:v>
                </c:pt>
                <c:pt idx="7">
                  <c:v>1819</c:v>
                </c:pt>
                <c:pt idx="8">
                  <c:v>1852</c:v>
                </c:pt>
                <c:pt idx="9">
                  <c:v>1813</c:v>
                </c:pt>
                <c:pt idx="10">
                  <c:v>1869</c:v>
                </c:pt>
                <c:pt idx="11">
                  <c:v>1997</c:v>
                </c:pt>
                <c:pt idx="12">
                  <c:v>2144</c:v>
                </c:pt>
                <c:pt idx="13">
                  <c:v>2226</c:v>
                </c:pt>
                <c:pt idx="14">
                  <c:v>2268</c:v>
                </c:pt>
                <c:pt idx="15">
                  <c:v>2291</c:v>
                </c:pt>
                <c:pt idx="16">
                  <c:v>2396</c:v>
                </c:pt>
                <c:pt idx="17">
                  <c:v>2477</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C-828A-4AA5-9E94-4F2ACDDD0680}"/>
            </c:ext>
          </c:extLst>
        </c:ser>
        <c:ser>
          <c:idx val="13"/>
          <c:order val="13"/>
          <c:tx>
            <c:strRef>
              <c:f>Indicators!$C$859</c:f>
              <c:strCache>
                <c:ptCount val="1"/>
                <c:pt idx="0">
                  <c:v>Management of companies and enterprises</c:v>
                </c:pt>
              </c:strCache>
            </c:strRef>
          </c:tx>
          <c:spPr>
            <a:solidFill>
              <a:schemeClr val="accent2">
                <a:lumMod val="80000"/>
                <a:lumOff val="2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Indicators!$I$859:$AK$859</c:f>
              <c:numCache>
                <c:formatCode>#,##0</c:formatCode>
                <c:ptCount val="29"/>
                <c:pt idx="0">
                  <c:v>78</c:v>
                </c:pt>
                <c:pt idx="1">
                  <c:v>79</c:v>
                </c:pt>
                <c:pt idx="2">
                  <c:v>100</c:v>
                </c:pt>
                <c:pt idx="3">
                  <c:v>114</c:v>
                </c:pt>
                <c:pt idx="4">
                  <c:v>131</c:v>
                </c:pt>
                <c:pt idx="5">
                  <c:v>126</c:v>
                </c:pt>
                <c:pt idx="6">
                  <c:v>102</c:v>
                </c:pt>
                <c:pt idx="7">
                  <c:v>94</c:v>
                </c:pt>
                <c:pt idx="8">
                  <c:v>86</c:v>
                </c:pt>
                <c:pt idx="9">
                  <c:v>88</c:v>
                </c:pt>
                <c:pt idx="10">
                  <c:v>93</c:v>
                </c:pt>
                <c:pt idx="11">
                  <c:v>74</c:v>
                </c:pt>
                <c:pt idx="12">
                  <c:v>147</c:v>
                </c:pt>
                <c:pt idx="13">
                  <c:v>163</c:v>
                </c:pt>
                <c:pt idx="14">
                  <c:v>300</c:v>
                </c:pt>
                <c:pt idx="15">
                  <c:v>257</c:v>
                </c:pt>
                <c:pt idx="16">
                  <c:v>193</c:v>
                </c:pt>
                <c:pt idx="17">
                  <c:v>197</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D-828A-4AA5-9E94-4F2ACDDD0680}"/>
            </c:ext>
          </c:extLst>
        </c:ser>
        <c:ser>
          <c:idx val="14"/>
          <c:order val="14"/>
          <c:tx>
            <c:strRef>
              <c:f>Indicators!$C$860</c:f>
              <c:strCache>
                <c:ptCount val="1"/>
                <c:pt idx="0">
                  <c:v>Administrative and waste management services</c:v>
                </c:pt>
              </c:strCache>
            </c:strRef>
          </c:tx>
          <c:spPr>
            <a:solidFill>
              <a:schemeClr val="accent3">
                <a:lumMod val="80000"/>
                <a:lumOff val="2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Indicators!$I$860:$AK$860</c:f>
              <c:numCache>
                <c:formatCode>#,##0</c:formatCode>
                <c:ptCount val="29"/>
                <c:pt idx="0">
                  <c:v>1028</c:v>
                </c:pt>
                <c:pt idx="1">
                  <c:v>1044</c:v>
                </c:pt>
                <c:pt idx="2">
                  <c:v>1058</c:v>
                </c:pt>
                <c:pt idx="3">
                  <c:v>1048</c:v>
                </c:pt>
                <c:pt idx="4">
                  <c:v>1124</c:v>
                </c:pt>
                <c:pt idx="5">
                  <c:v>1203</c:v>
                </c:pt>
                <c:pt idx="6">
                  <c:v>1203</c:v>
                </c:pt>
                <c:pt idx="7">
                  <c:v>1186</c:v>
                </c:pt>
                <c:pt idx="8">
                  <c:v>1123</c:v>
                </c:pt>
                <c:pt idx="9">
                  <c:v>1109</c:v>
                </c:pt>
                <c:pt idx="10">
                  <c:v>1185</c:v>
                </c:pt>
                <c:pt idx="11">
                  <c:v>1317</c:v>
                </c:pt>
                <c:pt idx="12">
                  <c:v>1308</c:v>
                </c:pt>
                <c:pt idx="13">
                  <c:v>1347</c:v>
                </c:pt>
                <c:pt idx="14">
                  <c:v>1550</c:v>
                </c:pt>
                <c:pt idx="15">
                  <c:v>1503</c:v>
                </c:pt>
                <c:pt idx="16">
                  <c:v>1513</c:v>
                </c:pt>
                <c:pt idx="17">
                  <c:v>1578</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E-828A-4AA5-9E94-4F2ACDDD0680}"/>
            </c:ext>
          </c:extLst>
        </c:ser>
        <c:ser>
          <c:idx val="15"/>
          <c:order val="15"/>
          <c:tx>
            <c:strRef>
              <c:f>Indicators!$C$861</c:f>
              <c:strCache>
                <c:ptCount val="1"/>
                <c:pt idx="0">
                  <c:v>Educational services</c:v>
                </c:pt>
              </c:strCache>
            </c:strRef>
          </c:tx>
          <c:spPr>
            <a:solidFill>
              <a:schemeClr val="accent4">
                <a:lumMod val="80000"/>
                <a:lumOff val="2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Indicators!$I$861:$AK$861</c:f>
              <c:numCache>
                <c:formatCode>#,##0</c:formatCode>
                <c:ptCount val="29"/>
                <c:pt idx="0">
                  <c:v>205</c:v>
                </c:pt>
                <c:pt idx="1">
                  <c:v>228</c:v>
                </c:pt>
                <c:pt idx="2">
                  <c:v>258</c:v>
                </c:pt>
                <c:pt idx="3">
                  <c:v>287</c:v>
                </c:pt>
                <c:pt idx="4">
                  <c:v>293</c:v>
                </c:pt>
                <c:pt idx="5">
                  <c:v>288</c:v>
                </c:pt>
                <c:pt idx="6">
                  <c:v>327</c:v>
                </c:pt>
                <c:pt idx="7">
                  <c:v>324</c:v>
                </c:pt>
                <c:pt idx="8">
                  <c:v>361</c:v>
                </c:pt>
                <c:pt idx="9">
                  <c:v>362</c:v>
                </c:pt>
                <c:pt idx="10">
                  <c:v>360</c:v>
                </c:pt>
                <c:pt idx="11">
                  <c:v>459</c:v>
                </c:pt>
                <c:pt idx="12">
                  <c:v>486</c:v>
                </c:pt>
                <c:pt idx="13">
                  <c:v>508</c:v>
                </c:pt>
                <c:pt idx="14">
                  <c:v>573</c:v>
                </c:pt>
                <c:pt idx="15">
                  <c:v>551</c:v>
                </c:pt>
                <c:pt idx="16">
                  <c:v>533</c:v>
                </c:pt>
                <c:pt idx="17">
                  <c:v>562</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F-828A-4AA5-9E94-4F2ACDDD0680}"/>
            </c:ext>
          </c:extLst>
        </c:ser>
        <c:ser>
          <c:idx val="16"/>
          <c:order val="16"/>
          <c:tx>
            <c:strRef>
              <c:f>Indicators!$C$862</c:f>
              <c:strCache>
                <c:ptCount val="1"/>
                <c:pt idx="0">
                  <c:v>Health care and social assistance</c:v>
                </c:pt>
              </c:strCache>
            </c:strRef>
          </c:tx>
          <c:spPr>
            <a:solidFill>
              <a:schemeClr val="accent5">
                <a:lumMod val="80000"/>
                <a:lumOff val="2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Indicators!$I$862:$AK$862</c:f>
              <c:numCache>
                <c:formatCode>#,##0</c:formatCode>
                <c:ptCount val="29"/>
                <c:pt idx="0">
                  <c:v>777</c:v>
                </c:pt>
                <c:pt idx="1">
                  <c:v>813</c:v>
                </c:pt>
                <c:pt idx="2">
                  <c:v>837</c:v>
                </c:pt>
                <c:pt idx="3">
                  <c:v>874</c:v>
                </c:pt>
                <c:pt idx="4">
                  <c:v>901</c:v>
                </c:pt>
                <c:pt idx="5">
                  <c:v>924</c:v>
                </c:pt>
                <c:pt idx="6">
                  <c:v>931</c:v>
                </c:pt>
                <c:pt idx="7">
                  <c:v>951</c:v>
                </c:pt>
                <c:pt idx="8">
                  <c:v>972</c:v>
                </c:pt>
                <c:pt idx="9">
                  <c:v>975</c:v>
                </c:pt>
                <c:pt idx="10">
                  <c:v>1025</c:v>
                </c:pt>
                <c:pt idx="11">
                  <c:v>1076</c:v>
                </c:pt>
                <c:pt idx="12">
                  <c:v>1092</c:v>
                </c:pt>
                <c:pt idx="13">
                  <c:v>1123</c:v>
                </c:pt>
                <c:pt idx="14">
                  <c:v>1168</c:v>
                </c:pt>
                <c:pt idx="15">
                  <c:v>1187</c:v>
                </c:pt>
                <c:pt idx="16">
                  <c:v>1230</c:v>
                </c:pt>
                <c:pt idx="17">
                  <c:v>1250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10-828A-4AA5-9E94-4F2ACDDD0680}"/>
            </c:ext>
          </c:extLst>
        </c:ser>
        <c:ser>
          <c:idx val="17"/>
          <c:order val="17"/>
          <c:tx>
            <c:strRef>
              <c:f>Indicators!$C$863</c:f>
              <c:strCache>
                <c:ptCount val="1"/>
                <c:pt idx="0">
                  <c:v>Arts, entertainment, and recreation</c:v>
                </c:pt>
              </c:strCache>
            </c:strRef>
          </c:tx>
          <c:spPr>
            <a:solidFill>
              <a:schemeClr val="accent6">
                <a:lumMod val="80000"/>
                <a:lumOff val="2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Indicators!$I$863:$AK$863</c:f>
              <c:numCache>
                <c:formatCode>#,##0</c:formatCode>
                <c:ptCount val="29"/>
                <c:pt idx="0">
                  <c:v>828</c:v>
                </c:pt>
                <c:pt idx="1">
                  <c:v>875</c:v>
                </c:pt>
                <c:pt idx="2">
                  <c:v>946</c:v>
                </c:pt>
                <c:pt idx="3">
                  <c:v>1051</c:v>
                </c:pt>
                <c:pt idx="4">
                  <c:v>1093</c:v>
                </c:pt>
                <c:pt idx="5">
                  <c:v>1209</c:v>
                </c:pt>
                <c:pt idx="6">
                  <c:v>1248</c:v>
                </c:pt>
                <c:pt idx="7">
                  <c:v>1172</c:v>
                </c:pt>
                <c:pt idx="8">
                  <c:v>1217</c:v>
                </c:pt>
                <c:pt idx="9">
                  <c:v>1267</c:v>
                </c:pt>
                <c:pt idx="10">
                  <c:v>1307</c:v>
                </c:pt>
                <c:pt idx="11">
                  <c:v>1324</c:v>
                </c:pt>
                <c:pt idx="12">
                  <c:v>1441</c:v>
                </c:pt>
                <c:pt idx="13">
                  <c:v>1329</c:v>
                </c:pt>
                <c:pt idx="14">
                  <c:v>1446</c:v>
                </c:pt>
                <c:pt idx="15">
                  <c:v>1649</c:v>
                </c:pt>
                <c:pt idx="16">
                  <c:v>1708</c:v>
                </c:pt>
                <c:pt idx="17">
                  <c:v>1699</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11-828A-4AA5-9E94-4F2ACDDD0680}"/>
            </c:ext>
          </c:extLst>
        </c:ser>
        <c:ser>
          <c:idx val="18"/>
          <c:order val="18"/>
          <c:tx>
            <c:strRef>
              <c:f>Indicators!$C$864</c:f>
              <c:strCache>
                <c:ptCount val="1"/>
                <c:pt idx="0">
                  <c:v>Accommodation and food services</c:v>
                </c:pt>
              </c:strCache>
            </c:strRef>
          </c:tx>
          <c:spPr>
            <a:solidFill>
              <a:schemeClr val="accent1">
                <a:lumMod val="8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Indicators!$I$864:$AK$864</c:f>
              <c:numCache>
                <c:formatCode>#,##0</c:formatCode>
                <c:ptCount val="29"/>
                <c:pt idx="0">
                  <c:v>5431</c:v>
                </c:pt>
                <c:pt idx="1">
                  <c:v>5635</c:v>
                </c:pt>
                <c:pt idx="2">
                  <c:v>5865</c:v>
                </c:pt>
                <c:pt idx="3">
                  <c:v>5971</c:v>
                </c:pt>
                <c:pt idx="4">
                  <c:v>6163</c:v>
                </c:pt>
                <c:pt idx="5">
                  <c:v>6310</c:v>
                </c:pt>
                <c:pt idx="6">
                  <c:v>6613</c:v>
                </c:pt>
                <c:pt idx="7">
                  <c:v>6110</c:v>
                </c:pt>
                <c:pt idx="8">
                  <c:v>6252</c:v>
                </c:pt>
                <c:pt idx="9">
                  <c:v>6264</c:v>
                </c:pt>
                <c:pt idx="10">
                  <c:v>6446</c:v>
                </c:pt>
                <c:pt idx="11">
                  <c:v>6540</c:v>
                </c:pt>
                <c:pt idx="12">
                  <c:v>6813</c:v>
                </c:pt>
                <c:pt idx="13">
                  <c:v>7091</c:v>
                </c:pt>
                <c:pt idx="14">
                  <c:v>7328</c:v>
                </c:pt>
                <c:pt idx="15">
                  <c:v>7528</c:v>
                </c:pt>
                <c:pt idx="16">
                  <c:v>7569</c:v>
                </c:pt>
                <c:pt idx="17">
                  <c:v>7773</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12-828A-4AA5-9E94-4F2ACDDD0680}"/>
            </c:ext>
          </c:extLst>
        </c:ser>
        <c:ser>
          <c:idx val="19"/>
          <c:order val="19"/>
          <c:tx>
            <c:strRef>
              <c:f>Indicators!$C$865</c:f>
              <c:strCache>
                <c:ptCount val="1"/>
                <c:pt idx="0">
                  <c:v>Other services, except public administration</c:v>
                </c:pt>
              </c:strCache>
            </c:strRef>
          </c:tx>
          <c:spPr>
            <a:solidFill>
              <a:schemeClr val="accent2">
                <a:lumMod val="8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Indicators!$I$865:$AK$865</c:f>
              <c:numCache>
                <c:formatCode>#,##0</c:formatCode>
                <c:ptCount val="29"/>
                <c:pt idx="0">
                  <c:v>1108</c:v>
                </c:pt>
                <c:pt idx="1">
                  <c:v>1122</c:v>
                </c:pt>
                <c:pt idx="2">
                  <c:v>1152</c:v>
                </c:pt>
                <c:pt idx="3">
                  <c:v>1205</c:v>
                </c:pt>
                <c:pt idx="4">
                  <c:v>1228</c:v>
                </c:pt>
                <c:pt idx="5">
                  <c:v>1271</c:v>
                </c:pt>
                <c:pt idx="6">
                  <c:v>1215</c:v>
                </c:pt>
                <c:pt idx="7">
                  <c:v>1132</c:v>
                </c:pt>
                <c:pt idx="8">
                  <c:v>1068</c:v>
                </c:pt>
                <c:pt idx="9">
                  <c:v>1110</c:v>
                </c:pt>
                <c:pt idx="10">
                  <c:v>1191</c:v>
                </c:pt>
                <c:pt idx="11">
                  <c:v>1247</c:v>
                </c:pt>
                <c:pt idx="12">
                  <c:v>1240</c:v>
                </c:pt>
                <c:pt idx="13">
                  <c:v>1285</c:v>
                </c:pt>
                <c:pt idx="14">
                  <c:v>1298</c:v>
                </c:pt>
                <c:pt idx="15">
                  <c:v>1342</c:v>
                </c:pt>
                <c:pt idx="16">
                  <c:v>1411</c:v>
                </c:pt>
                <c:pt idx="17">
                  <c:v>1437</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13-828A-4AA5-9E94-4F2ACDDD0680}"/>
            </c:ext>
          </c:extLst>
        </c:ser>
        <c:ser>
          <c:idx val="20"/>
          <c:order val="20"/>
          <c:tx>
            <c:strRef>
              <c:f>Indicators!$C$866</c:f>
              <c:strCache>
                <c:ptCount val="1"/>
                <c:pt idx="0">
                  <c:v>Government and government enterprises</c:v>
                </c:pt>
              </c:strCache>
            </c:strRef>
          </c:tx>
          <c:spPr>
            <a:solidFill>
              <a:schemeClr val="accent3">
                <a:lumMod val="80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Indicators!$I$866:$AK$866</c:f>
              <c:numCache>
                <c:formatCode>#,##0</c:formatCode>
                <c:ptCount val="29"/>
                <c:pt idx="0">
                  <c:v>2170</c:v>
                </c:pt>
                <c:pt idx="1">
                  <c:v>2224</c:v>
                </c:pt>
                <c:pt idx="2">
                  <c:v>2220</c:v>
                </c:pt>
                <c:pt idx="3">
                  <c:v>2267</c:v>
                </c:pt>
                <c:pt idx="4">
                  <c:v>2299</c:v>
                </c:pt>
                <c:pt idx="5">
                  <c:v>2269</c:v>
                </c:pt>
                <c:pt idx="6">
                  <c:v>2283</c:v>
                </c:pt>
                <c:pt idx="7">
                  <c:v>2356</c:v>
                </c:pt>
                <c:pt idx="8">
                  <c:v>2386</c:v>
                </c:pt>
                <c:pt idx="9">
                  <c:v>2394</c:v>
                </c:pt>
                <c:pt idx="10">
                  <c:v>2397</c:v>
                </c:pt>
                <c:pt idx="11">
                  <c:v>2415</c:v>
                </c:pt>
                <c:pt idx="12">
                  <c:v>2474</c:v>
                </c:pt>
                <c:pt idx="13">
                  <c:v>2522</c:v>
                </c:pt>
                <c:pt idx="14">
                  <c:v>2599</c:v>
                </c:pt>
                <c:pt idx="15">
                  <c:v>2645</c:v>
                </c:pt>
                <c:pt idx="16">
                  <c:v>2620</c:v>
                </c:pt>
                <c:pt idx="17">
                  <c:v>2692</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14-828A-4AA5-9E94-4F2ACDDD0680}"/>
            </c:ext>
          </c:extLst>
        </c:ser>
        <c:dLbls>
          <c:showLegendKey val="0"/>
          <c:showVal val="0"/>
          <c:showCatName val="0"/>
          <c:showSerName val="0"/>
          <c:showPercent val="0"/>
          <c:showBubbleSize val="0"/>
        </c:dLbls>
        <c:gapWidth val="150"/>
        <c:overlap val="100"/>
        <c:axId val="614338104"/>
        <c:axId val="614336184"/>
      </c:barChart>
      <c:catAx>
        <c:axId val="614338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336184"/>
        <c:crosses val="autoZero"/>
        <c:auto val="1"/>
        <c:lblAlgn val="ctr"/>
        <c:lblOffset val="100"/>
        <c:noMultiLvlLbl val="0"/>
      </c:catAx>
      <c:valAx>
        <c:axId val="614336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All Fulltime and Part-time Jobs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338104"/>
        <c:crosses val="autoZero"/>
        <c:crossBetween val="between"/>
      </c:valAx>
      <c:spPr>
        <a:noFill/>
        <a:ln>
          <a:noFill/>
        </a:ln>
        <a:effectLst/>
      </c:spPr>
    </c:plotArea>
    <c:legend>
      <c:legendPos val="l"/>
      <c:layout>
        <c:manualLayout>
          <c:xMode val="edge"/>
          <c:yMode val="edge"/>
          <c:x val="3.0792917628945341E-3"/>
          <c:y val="2.8642825896762904E-2"/>
          <c:w val="9.7973931087713337E-2"/>
          <c:h val="0.961232866724992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83902167756935"/>
          <c:y val="5.0925925925925923E-2"/>
          <c:w val="0.82487819488258951"/>
          <c:h val="0.8416746864975212"/>
        </c:manualLayout>
      </c:layout>
      <c:barChart>
        <c:barDir val="col"/>
        <c:grouping val="clustered"/>
        <c:varyColors val="0"/>
        <c:ser>
          <c:idx val="0"/>
          <c:order val="0"/>
          <c:tx>
            <c:strRef>
              <c:f>Indicators!$D$597</c:f>
              <c:strCache>
                <c:ptCount val="1"/>
                <c:pt idx="0">
                  <c:v>Residential Units</c:v>
                </c:pt>
              </c:strCache>
            </c:strRef>
          </c:tx>
          <c:spPr>
            <a:solidFill>
              <a:schemeClr val="accent4"/>
            </a:solidFill>
            <a:ln>
              <a:noFill/>
            </a:ln>
            <a:effectLst/>
          </c:spPr>
          <c:invertIfNegative val="0"/>
          <c:cat>
            <c:strRef>
              <c:f>(Indicators!$O$596,Indicators!$S$596,Indicators!$Z$596,Indicators!$AA$596)</c:f>
              <c:strCache>
                <c:ptCount val="4"/>
                <c:pt idx="0">
                  <c:v>2002-2008</c:v>
                </c:pt>
                <c:pt idx="1">
                  <c:v>2008-2012</c:v>
                </c:pt>
                <c:pt idx="2">
                  <c:v>2012-2019</c:v>
                </c:pt>
                <c:pt idx="3">
                  <c:v>2019-2020</c:v>
                </c:pt>
              </c:strCache>
            </c:strRef>
          </c:cat>
          <c:val>
            <c:numRef>
              <c:f>(Indicators!$O$597,Indicators!$S$597,Indicators!$Z$597,Indicators!$AA$597)</c:f>
              <c:numCache>
                <c:formatCode>0.00%</c:formatCode>
                <c:ptCount val="4"/>
                <c:pt idx="0">
                  <c:v>2.5600130863288755E-2</c:v>
                </c:pt>
                <c:pt idx="1">
                  <c:v>1.2921408061257023E-2</c:v>
                </c:pt>
                <c:pt idx="2">
                  <c:v>1.3752654464556566E-2</c:v>
                </c:pt>
                <c:pt idx="3">
                  <c:v>2.0477815699658786E-2</c:v>
                </c:pt>
              </c:numCache>
            </c:numRef>
          </c:val>
          <c:extLst>
            <c:ext xmlns:c16="http://schemas.microsoft.com/office/drawing/2014/chart" uri="{C3380CC4-5D6E-409C-BE32-E72D297353CC}">
              <c16:uniqueId val="{00000001-47DB-4567-A86D-509E4E41F177}"/>
            </c:ext>
          </c:extLst>
        </c:ser>
        <c:ser>
          <c:idx val="1"/>
          <c:order val="1"/>
          <c:tx>
            <c:strRef>
              <c:f>Indicators!$D$598</c:f>
              <c:strCache>
                <c:ptCount val="1"/>
                <c:pt idx="0">
                  <c:v>Lodging Units</c:v>
                </c:pt>
              </c:strCache>
            </c:strRef>
          </c:tx>
          <c:spPr>
            <a:solidFill>
              <a:schemeClr val="accent4">
                <a:lumMod val="75000"/>
              </a:schemeClr>
            </a:solidFill>
            <a:ln>
              <a:noFill/>
            </a:ln>
            <a:effectLst/>
          </c:spPr>
          <c:invertIfNegative val="0"/>
          <c:cat>
            <c:strRef>
              <c:f>(Indicators!$O$596,Indicators!$S$596,Indicators!$Z$596,Indicators!$AA$596)</c:f>
              <c:strCache>
                <c:ptCount val="4"/>
                <c:pt idx="0">
                  <c:v>2002-2008</c:v>
                </c:pt>
                <c:pt idx="1">
                  <c:v>2008-2012</c:v>
                </c:pt>
                <c:pt idx="2">
                  <c:v>2012-2019</c:v>
                </c:pt>
                <c:pt idx="3">
                  <c:v>2019-2020</c:v>
                </c:pt>
              </c:strCache>
            </c:strRef>
          </c:cat>
          <c:val>
            <c:numRef>
              <c:f>(Indicators!$O$598,Indicators!$S$598,Indicators!$Z$598,Indicators!$AA$598)</c:f>
              <c:numCache>
                <c:formatCode>0.00%</c:formatCode>
                <c:ptCount val="4"/>
                <c:pt idx="0">
                  <c:v>1.0489510489510486E-2</c:v>
                </c:pt>
                <c:pt idx="1">
                  <c:v>3.8521468144044335E-3</c:v>
                </c:pt>
                <c:pt idx="2">
                  <c:v>7.2098404579222942E-3</c:v>
                </c:pt>
                <c:pt idx="3">
                  <c:v>6.1678298977438928E-3</c:v>
                </c:pt>
              </c:numCache>
            </c:numRef>
          </c:val>
          <c:extLst>
            <c:ext xmlns:c16="http://schemas.microsoft.com/office/drawing/2014/chart" uri="{C3380CC4-5D6E-409C-BE32-E72D297353CC}">
              <c16:uniqueId val="{00000002-47DB-4567-A86D-509E4E41F177}"/>
            </c:ext>
          </c:extLst>
        </c:ser>
        <c:ser>
          <c:idx val="2"/>
          <c:order val="2"/>
          <c:tx>
            <c:strRef>
              <c:f>Indicators!$D$599</c:f>
              <c:strCache>
                <c:ptCount val="1"/>
                <c:pt idx="0">
                  <c:v>Commercial Floor Area</c:v>
                </c:pt>
              </c:strCache>
            </c:strRef>
          </c:tx>
          <c:spPr>
            <a:solidFill>
              <a:schemeClr val="accent3"/>
            </a:solidFill>
            <a:ln>
              <a:noFill/>
            </a:ln>
            <a:effectLst/>
          </c:spPr>
          <c:invertIfNegative val="0"/>
          <c:cat>
            <c:strRef>
              <c:f>(Indicators!$O$596,Indicators!$S$596,Indicators!$Z$596,Indicators!$AA$596)</c:f>
              <c:strCache>
                <c:ptCount val="4"/>
                <c:pt idx="0">
                  <c:v>2002-2008</c:v>
                </c:pt>
                <c:pt idx="1">
                  <c:v>2008-2012</c:v>
                </c:pt>
                <c:pt idx="2">
                  <c:v>2012-2019</c:v>
                </c:pt>
                <c:pt idx="3">
                  <c:v>2019-2020</c:v>
                </c:pt>
              </c:strCache>
            </c:strRef>
          </c:cat>
          <c:val>
            <c:numRef>
              <c:f>(Indicators!$O$599,Indicators!$S$599,Indicators!$Z$599,Indicators!$AA$599)</c:f>
              <c:numCache>
                <c:formatCode>0.00%</c:formatCode>
                <c:ptCount val="4"/>
                <c:pt idx="0">
                  <c:v>2.6528828386155889E-2</c:v>
                </c:pt>
                <c:pt idx="1">
                  <c:v>1.3546381345402925E-2</c:v>
                </c:pt>
                <c:pt idx="2">
                  <c:v>9.5182549919812873E-3</c:v>
                </c:pt>
                <c:pt idx="3">
                  <c:v>5.7661929428263203E-3</c:v>
                </c:pt>
              </c:numCache>
            </c:numRef>
          </c:val>
          <c:extLst>
            <c:ext xmlns:c16="http://schemas.microsoft.com/office/drawing/2014/chart" uri="{C3380CC4-5D6E-409C-BE32-E72D297353CC}">
              <c16:uniqueId val="{00000003-47DB-4567-A86D-509E4E41F177}"/>
            </c:ext>
          </c:extLst>
        </c:ser>
        <c:ser>
          <c:idx val="3"/>
          <c:order val="3"/>
          <c:tx>
            <c:strRef>
              <c:f>Indicators!$D$600</c:f>
              <c:strCache>
                <c:ptCount val="1"/>
                <c:pt idx="0">
                  <c:v>Institutional Floor Area</c:v>
                </c:pt>
              </c:strCache>
            </c:strRef>
          </c:tx>
          <c:spPr>
            <a:solidFill>
              <a:schemeClr val="bg2">
                <a:lumMod val="90000"/>
              </a:schemeClr>
            </a:solidFill>
            <a:ln>
              <a:noFill/>
            </a:ln>
            <a:effectLst/>
          </c:spPr>
          <c:invertIfNegative val="0"/>
          <c:cat>
            <c:strRef>
              <c:f>(Indicators!$O$596,Indicators!$S$596,Indicators!$Z$596,Indicators!$AA$596)</c:f>
              <c:strCache>
                <c:ptCount val="4"/>
                <c:pt idx="0">
                  <c:v>2002-2008</c:v>
                </c:pt>
                <c:pt idx="1">
                  <c:v>2008-2012</c:v>
                </c:pt>
                <c:pt idx="2">
                  <c:v>2012-2019</c:v>
                </c:pt>
                <c:pt idx="3">
                  <c:v>2019-2020</c:v>
                </c:pt>
              </c:strCache>
            </c:strRef>
          </c:cat>
          <c:val>
            <c:numRef>
              <c:f>(Indicators!$O$600,Indicators!$S$600,Indicators!$Z$600,Indicators!$AA$600)</c:f>
              <c:numCache>
                <c:formatCode>0.00%</c:formatCode>
                <c:ptCount val="4"/>
                <c:pt idx="0">
                  <c:v>6.475215697468821E-2</c:v>
                </c:pt>
                <c:pt idx="1">
                  <c:v>1.7208980593584333E-2</c:v>
                </c:pt>
                <c:pt idx="2">
                  <c:v>1.4464467275228956E-2</c:v>
                </c:pt>
                <c:pt idx="3">
                  <c:v>1.3465821822968183E-2</c:v>
                </c:pt>
              </c:numCache>
            </c:numRef>
          </c:val>
          <c:extLst>
            <c:ext xmlns:c16="http://schemas.microsoft.com/office/drawing/2014/chart" uri="{C3380CC4-5D6E-409C-BE32-E72D297353CC}">
              <c16:uniqueId val="{00000004-47DB-4567-A86D-509E4E41F177}"/>
            </c:ext>
          </c:extLst>
        </c:ser>
        <c:ser>
          <c:idx val="4"/>
          <c:order val="4"/>
          <c:tx>
            <c:strRef>
              <c:f>Indicators!$D$601</c:f>
              <c:strCache>
                <c:ptCount val="1"/>
                <c:pt idx="0">
                  <c:v>Summer Effective Population</c:v>
                </c:pt>
              </c:strCache>
            </c:strRef>
          </c:tx>
          <c:spPr>
            <a:solidFill>
              <a:schemeClr val="accent5">
                <a:lumMod val="50000"/>
              </a:schemeClr>
            </a:solidFill>
            <a:ln>
              <a:noFill/>
            </a:ln>
            <a:effectLst/>
          </c:spPr>
          <c:invertIfNegative val="0"/>
          <c:cat>
            <c:strRef>
              <c:f>(Indicators!$O$596,Indicators!$S$596,Indicators!$Z$596,Indicators!$AA$596)</c:f>
              <c:strCache>
                <c:ptCount val="4"/>
                <c:pt idx="0">
                  <c:v>2002-2008</c:v>
                </c:pt>
                <c:pt idx="1">
                  <c:v>2008-2012</c:v>
                </c:pt>
                <c:pt idx="2">
                  <c:v>2012-2019</c:v>
                </c:pt>
                <c:pt idx="3">
                  <c:v>2019-2020</c:v>
                </c:pt>
              </c:strCache>
            </c:strRef>
          </c:cat>
          <c:val>
            <c:numRef>
              <c:f>(Indicators!$O$601,Indicators!$S$601,Indicators!$Z$601,Indicators!$AA$601)</c:f>
              <c:numCache>
                <c:formatCode>0.00%</c:formatCode>
                <c:ptCount val="4"/>
                <c:pt idx="0">
                  <c:v>0</c:v>
                </c:pt>
                <c:pt idx="1">
                  <c:v>0</c:v>
                </c:pt>
                <c:pt idx="2">
                  <c:v>5.4733740866077197E-3</c:v>
                </c:pt>
                <c:pt idx="3">
                  <c:v>0</c:v>
                </c:pt>
              </c:numCache>
            </c:numRef>
          </c:val>
          <c:extLst>
            <c:ext xmlns:c16="http://schemas.microsoft.com/office/drawing/2014/chart" uri="{C3380CC4-5D6E-409C-BE32-E72D297353CC}">
              <c16:uniqueId val="{00000005-47DB-4567-A86D-509E4E41F177}"/>
            </c:ext>
          </c:extLst>
        </c:ser>
        <c:ser>
          <c:idx val="5"/>
          <c:order val="5"/>
          <c:tx>
            <c:strRef>
              <c:f>Indicators!$D$602</c:f>
              <c:strCache>
                <c:ptCount val="1"/>
                <c:pt idx="0">
                  <c:v>Winter Effective Population</c:v>
                </c:pt>
              </c:strCache>
            </c:strRef>
          </c:tx>
          <c:spPr>
            <a:solidFill>
              <a:schemeClr val="accent5"/>
            </a:solidFill>
            <a:ln>
              <a:noFill/>
            </a:ln>
            <a:effectLst/>
          </c:spPr>
          <c:invertIfNegative val="0"/>
          <c:cat>
            <c:strRef>
              <c:f>(Indicators!$O$596,Indicators!$S$596,Indicators!$Z$596,Indicators!$AA$596)</c:f>
              <c:strCache>
                <c:ptCount val="4"/>
                <c:pt idx="0">
                  <c:v>2002-2008</c:v>
                </c:pt>
                <c:pt idx="1">
                  <c:v>2008-2012</c:v>
                </c:pt>
                <c:pt idx="2">
                  <c:v>2012-2019</c:v>
                </c:pt>
                <c:pt idx="3">
                  <c:v>2019-2020</c:v>
                </c:pt>
              </c:strCache>
            </c:strRef>
          </c:cat>
          <c:val>
            <c:numRef>
              <c:f>(Indicators!$O$602,Indicators!$S$602,Indicators!$Z$602,Indicators!$AA$602)</c:f>
              <c:numCache>
                <c:formatCode>0.00%</c:formatCode>
                <c:ptCount val="4"/>
                <c:pt idx="0">
                  <c:v>0</c:v>
                </c:pt>
                <c:pt idx="1">
                  <c:v>0</c:v>
                </c:pt>
                <c:pt idx="2">
                  <c:v>2.4998140568032273E-2</c:v>
                </c:pt>
                <c:pt idx="3">
                  <c:v>0</c:v>
                </c:pt>
              </c:numCache>
            </c:numRef>
          </c:val>
          <c:extLst>
            <c:ext xmlns:c16="http://schemas.microsoft.com/office/drawing/2014/chart" uri="{C3380CC4-5D6E-409C-BE32-E72D297353CC}">
              <c16:uniqueId val="{00000006-47DB-4567-A86D-509E4E41F177}"/>
            </c:ext>
          </c:extLst>
        </c:ser>
        <c:ser>
          <c:idx val="6"/>
          <c:order val="6"/>
          <c:tx>
            <c:strRef>
              <c:f>Indicators!$D$603</c:f>
              <c:strCache>
                <c:ptCount val="1"/>
                <c:pt idx="0">
                  <c:v>Shoulder Effective Population</c:v>
                </c:pt>
              </c:strCache>
            </c:strRef>
          </c:tx>
          <c:spPr>
            <a:solidFill>
              <a:schemeClr val="accent5">
                <a:lumMod val="60000"/>
                <a:lumOff val="40000"/>
              </a:schemeClr>
            </a:solidFill>
            <a:ln>
              <a:noFill/>
            </a:ln>
            <a:effectLst/>
          </c:spPr>
          <c:invertIfNegative val="0"/>
          <c:cat>
            <c:strRef>
              <c:f>(Indicators!$O$596,Indicators!$S$596,Indicators!$Z$596,Indicators!$AA$596)</c:f>
              <c:strCache>
                <c:ptCount val="4"/>
                <c:pt idx="0">
                  <c:v>2002-2008</c:v>
                </c:pt>
                <c:pt idx="1">
                  <c:v>2008-2012</c:v>
                </c:pt>
                <c:pt idx="2">
                  <c:v>2012-2019</c:v>
                </c:pt>
                <c:pt idx="3">
                  <c:v>2019-2020</c:v>
                </c:pt>
              </c:strCache>
            </c:strRef>
          </c:cat>
          <c:val>
            <c:numRef>
              <c:f>(Indicators!$O$603,Indicators!$S$603,Indicators!$Z$603,Indicators!$AA$603)</c:f>
              <c:numCache>
                <c:formatCode>0.00%</c:formatCode>
                <c:ptCount val="4"/>
                <c:pt idx="0">
                  <c:v>0</c:v>
                </c:pt>
                <c:pt idx="1">
                  <c:v>0</c:v>
                </c:pt>
                <c:pt idx="2">
                  <c:v>1.7930878972732663E-2</c:v>
                </c:pt>
                <c:pt idx="3">
                  <c:v>0</c:v>
                </c:pt>
              </c:numCache>
            </c:numRef>
          </c:val>
          <c:extLst>
            <c:ext xmlns:c16="http://schemas.microsoft.com/office/drawing/2014/chart" uri="{C3380CC4-5D6E-409C-BE32-E72D297353CC}">
              <c16:uniqueId val="{00000007-47DB-4567-A86D-509E4E41F177}"/>
            </c:ext>
          </c:extLst>
        </c:ser>
        <c:ser>
          <c:idx val="7"/>
          <c:order val="7"/>
          <c:tx>
            <c:strRef>
              <c:f>Indicators!$D$604</c:f>
              <c:strCache>
                <c:ptCount val="1"/>
                <c:pt idx="0">
                  <c:v>Wage Jobs (QCEW)</c:v>
                </c:pt>
              </c:strCache>
            </c:strRef>
          </c:tx>
          <c:spPr>
            <a:solidFill>
              <a:schemeClr val="accent6">
                <a:lumMod val="60000"/>
                <a:lumOff val="40000"/>
              </a:schemeClr>
            </a:solidFill>
            <a:ln>
              <a:noFill/>
            </a:ln>
            <a:effectLst/>
          </c:spPr>
          <c:invertIfNegative val="0"/>
          <c:cat>
            <c:strRef>
              <c:f>(Indicators!$O$596,Indicators!$S$596,Indicators!$Z$596,Indicators!$AA$596)</c:f>
              <c:strCache>
                <c:ptCount val="4"/>
                <c:pt idx="0">
                  <c:v>2002-2008</c:v>
                </c:pt>
                <c:pt idx="1">
                  <c:v>2008-2012</c:v>
                </c:pt>
                <c:pt idx="2">
                  <c:v>2012-2019</c:v>
                </c:pt>
                <c:pt idx="3">
                  <c:v>2019-2020</c:v>
                </c:pt>
              </c:strCache>
            </c:strRef>
          </c:cat>
          <c:val>
            <c:numRef>
              <c:f>(Indicators!$O$604,Indicators!$S$604,Indicators!$Z$604,Indicators!$AA$604)</c:f>
              <c:numCache>
                <c:formatCode>0.00%</c:formatCode>
                <c:ptCount val="4"/>
                <c:pt idx="0">
                  <c:v>2.2148596082112837E-2</c:v>
                </c:pt>
                <c:pt idx="1">
                  <c:v>-1.9669508185160056E-2</c:v>
                </c:pt>
                <c:pt idx="2">
                  <c:v>3.2890959889773405E-2</c:v>
                </c:pt>
                <c:pt idx="3">
                  <c:v>0</c:v>
                </c:pt>
              </c:numCache>
            </c:numRef>
          </c:val>
          <c:extLst>
            <c:ext xmlns:c16="http://schemas.microsoft.com/office/drawing/2014/chart" uri="{C3380CC4-5D6E-409C-BE32-E72D297353CC}">
              <c16:uniqueId val="{00000008-47DB-4567-A86D-509E4E41F177}"/>
            </c:ext>
          </c:extLst>
        </c:ser>
        <c:ser>
          <c:idx val="8"/>
          <c:order val="8"/>
          <c:tx>
            <c:strRef>
              <c:f>Indicators!$D$606</c:f>
              <c:strCache>
                <c:ptCount val="1"/>
                <c:pt idx="0">
                  <c:v>Per Capita GDP</c:v>
                </c:pt>
              </c:strCache>
            </c:strRef>
          </c:tx>
          <c:spPr>
            <a:solidFill>
              <a:schemeClr val="accent6"/>
            </a:solidFill>
            <a:ln>
              <a:noFill/>
            </a:ln>
            <a:effectLst/>
          </c:spPr>
          <c:invertIfNegative val="0"/>
          <c:cat>
            <c:strRef>
              <c:f>(Indicators!$O$596,Indicators!$S$596,Indicators!$Z$596,Indicators!$AA$596)</c:f>
              <c:strCache>
                <c:ptCount val="4"/>
                <c:pt idx="0">
                  <c:v>2002-2008</c:v>
                </c:pt>
                <c:pt idx="1">
                  <c:v>2008-2012</c:v>
                </c:pt>
                <c:pt idx="2">
                  <c:v>2012-2019</c:v>
                </c:pt>
                <c:pt idx="3">
                  <c:v>2019-2020</c:v>
                </c:pt>
              </c:strCache>
            </c:strRef>
          </c:cat>
          <c:val>
            <c:numRef>
              <c:f>(Indicators!$O$606,Indicators!$S$606,Indicators!$Z$606,Indicators!$AA$606)</c:f>
              <c:numCache>
                <c:formatCode>0.00%</c:formatCode>
                <c:ptCount val="4"/>
                <c:pt idx="0">
                  <c:v>3.8051558046800937E-2</c:v>
                </c:pt>
                <c:pt idx="1">
                  <c:v>7.5345913135829168E-3</c:v>
                </c:pt>
                <c:pt idx="2">
                  <c:v>5.1179027687531305E-2</c:v>
                </c:pt>
                <c:pt idx="3">
                  <c:v>0</c:v>
                </c:pt>
              </c:numCache>
            </c:numRef>
          </c:val>
          <c:extLst>
            <c:ext xmlns:c16="http://schemas.microsoft.com/office/drawing/2014/chart" uri="{C3380CC4-5D6E-409C-BE32-E72D297353CC}">
              <c16:uniqueId val="{00000009-47DB-4567-A86D-509E4E41F177}"/>
            </c:ext>
          </c:extLst>
        </c:ser>
        <c:ser>
          <c:idx val="9"/>
          <c:order val="9"/>
          <c:tx>
            <c:strRef>
              <c:f>Indicators!$D$607</c:f>
              <c:strCache>
                <c:ptCount val="1"/>
                <c:pt idx="0">
                  <c:v>Per Capita Income</c:v>
                </c:pt>
              </c:strCache>
            </c:strRef>
          </c:tx>
          <c:spPr>
            <a:solidFill>
              <a:schemeClr val="accent6">
                <a:lumMod val="50000"/>
              </a:schemeClr>
            </a:solidFill>
            <a:ln>
              <a:noFill/>
            </a:ln>
            <a:effectLst/>
          </c:spPr>
          <c:invertIfNegative val="0"/>
          <c:cat>
            <c:strRef>
              <c:f>(Indicators!$O$596,Indicators!$S$596,Indicators!$Z$596,Indicators!$AA$596)</c:f>
              <c:strCache>
                <c:ptCount val="4"/>
                <c:pt idx="0">
                  <c:v>2002-2008</c:v>
                </c:pt>
                <c:pt idx="1">
                  <c:v>2008-2012</c:v>
                </c:pt>
                <c:pt idx="2">
                  <c:v>2012-2019</c:v>
                </c:pt>
                <c:pt idx="3">
                  <c:v>2019-2020</c:v>
                </c:pt>
              </c:strCache>
            </c:strRef>
          </c:cat>
          <c:val>
            <c:numRef>
              <c:f>(Indicators!$O$607,Indicators!$S$607,Indicators!$Z$607,Indicators!$AA$607)</c:f>
              <c:numCache>
                <c:formatCode>0.00%</c:formatCode>
                <c:ptCount val="4"/>
                <c:pt idx="0">
                  <c:v>0.15998886684580163</c:v>
                </c:pt>
                <c:pt idx="1">
                  <c:v>5.9217902148078372E-2</c:v>
                </c:pt>
                <c:pt idx="2">
                  <c:v>2.7198552094054688E-2</c:v>
                </c:pt>
                <c:pt idx="3">
                  <c:v>0</c:v>
                </c:pt>
              </c:numCache>
            </c:numRef>
          </c:val>
          <c:extLst>
            <c:ext xmlns:c16="http://schemas.microsoft.com/office/drawing/2014/chart" uri="{C3380CC4-5D6E-409C-BE32-E72D297353CC}">
              <c16:uniqueId val="{0000000A-47DB-4567-A86D-509E4E41F177}"/>
            </c:ext>
          </c:extLst>
        </c:ser>
        <c:ser>
          <c:idx val="10"/>
          <c:order val="10"/>
          <c:tx>
            <c:strRef>
              <c:f>Indicators!$E$609</c:f>
              <c:strCache>
                <c:ptCount val="1"/>
                <c:pt idx="0">
                  <c:v>Cost of Home Purchase</c:v>
                </c:pt>
              </c:strCache>
            </c:strRef>
          </c:tx>
          <c:spPr>
            <a:solidFill>
              <a:schemeClr val="accent2">
                <a:lumMod val="60000"/>
                <a:lumOff val="40000"/>
              </a:schemeClr>
            </a:solidFill>
            <a:ln>
              <a:noFill/>
            </a:ln>
            <a:effectLst/>
          </c:spPr>
          <c:invertIfNegative val="0"/>
          <c:cat>
            <c:strRef>
              <c:f>(Indicators!$O$596,Indicators!$S$596,Indicators!$Z$596,Indicators!$AA$596)</c:f>
              <c:strCache>
                <c:ptCount val="4"/>
                <c:pt idx="0">
                  <c:v>2002-2008</c:v>
                </c:pt>
                <c:pt idx="1">
                  <c:v>2008-2012</c:v>
                </c:pt>
                <c:pt idx="2">
                  <c:v>2012-2019</c:v>
                </c:pt>
                <c:pt idx="3">
                  <c:v>2019-2020</c:v>
                </c:pt>
              </c:strCache>
            </c:strRef>
          </c:cat>
          <c:val>
            <c:numRef>
              <c:f>(Indicators!$O$609,Indicators!$S$609,Indicators!$Z$609,Indicators!$AA$609)</c:f>
              <c:numCache>
                <c:formatCode>0.00%</c:formatCode>
                <c:ptCount val="4"/>
                <c:pt idx="0">
                  <c:v>0.15532733093237291</c:v>
                </c:pt>
                <c:pt idx="1">
                  <c:v>-9.7449007515435726E-2</c:v>
                </c:pt>
                <c:pt idx="2">
                  <c:v>4.6725556849444717E-2</c:v>
                </c:pt>
                <c:pt idx="3">
                  <c:v>0.41421243968537258</c:v>
                </c:pt>
              </c:numCache>
            </c:numRef>
          </c:val>
          <c:extLst>
            <c:ext xmlns:c16="http://schemas.microsoft.com/office/drawing/2014/chart" uri="{C3380CC4-5D6E-409C-BE32-E72D297353CC}">
              <c16:uniqueId val="{0000000B-47DB-4567-A86D-509E4E41F177}"/>
            </c:ext>
          </c:extLst>
        </c:ser>
        <c:ser>
          <c:idx val="12"/>
          <c:order val="11"/>
          <c:tx>
            <c:strRef>
              <c:f>Indicators!$E$610</c:f>
              <c:strCache>
                <c:ptCount val="1"/>
                <c:pt idx="0">
                  <c:v>Cost of Rent</c:v>
                </c:pt>
              </c:strCache>
            </c:strRef>
          </c:tx>
          <c:spPr>
            <a:solidFill>
              <a:schemeClr val="accent2"/>
            </a:solidFill>
            <a:ln>
              <a:noFill/>
            </a:ln>
            <a:effectLst/>
          </c:spPr>
          <c:invertIfNegative val="0"/>
          <c:cat>
            <c:strRef>
              <c:f>(Indicators!$O$596,Indicators!$S$596,Indicators!$Z$596,Indicators!$AA$596)</c:f>
              <c:strCache>
                <c:ptCount val="4"/>
                <c:pt idx="0">
                  <c:v>2002-2008</c:v>
                </c:pt>
                <c:pt idx="1">
                  <c:v>2008-2012</c:v>
                </c:pt>
                <c:pt idx="2">
                  <c:v>2012-2019</c:v>
                </c:pt>
                <c:pt idx="3">
                  <c:v>2019-2020</c:v>
                </c:pt>
              </c:strCache>
            </c:strRef>
          </c:cat>
          <c:val>
            <c:numRef>
              <c:f>(Indicators!$O$610,Indicators!$S$610,Indicators!$Z$610,Indicators!$AA$610)</c:f>
              <c:numCache>
                <c:formatCode>0.00%</c:formatCode>
                <c:ptCount val="4"/>
                <c:pt idx="0">
                  <c:v>3.2787872430525611E-2</c:v>
                </c:pt>
                <c:pt idx="1">
                  <c:v>-5.31698946062438E-2</c:v>
                </c:pt>
                <c:pt idx="2">
                  <c:v>2.1363793839343868E-2</c:v>
                </c:pt>
                <c:pt idx="3">
                  <c:v>5.383525459739591E-2</c:v>
                </c:pt>
              </c:numCache>
            </c:numRef>
          </c:val>
          <c:extLst>
            <c:ext xmlns:c16="http://schemas.microsoft.com/office/drawing/2014/chart" uri="{C3380CC4-5D6E-409C-BE32-E72D297353CC}">
              <c16:uniqueId val="{00000001-0D68-49AD-A4E7-5DB7642945CA}"/>
            </c:ext>
          </c:extLst>
        </c:ser>
        <c:ser>
          <c:idx val="11"/>
          <c:order val="12"/>
          <c:tx>
            <c:strRef>
              <c:f>Indicators!$D$611</c:f>
              <c:strCache>
                <c:ptCount val="1"/>
                <c:pt idx="0">
                  <c:v>Vehicle Miles Traveled</c:v>
                </c:pt>
              </c:strCache>
            </c:strRef>
          </c:tx>
          <c:spPr>
            <a:solidFill>
              <a:schemeClr val="accent2">
                <a:lumMod val="50000"/>
              </a:schemeClr>
            </a:solidFill>
            <a:ln>
              <a:noFill/>
            </a:ln>
            <a:effectLst/>
          </c:spPr>
          <c:invertIfNegative val="0"/>
          <c:cat>
            <c:strRef>
              <c:f>(Indicators!$O$596,Indicators!$S$596,Indicators!$Z$596,Indicators!$AA$596)</c:f>
              <c:strCache>
                <c:ptCount val="4"/>
                <c:pt idx="0">
                  <c:v>2002-2008</c:v>
                </c:pt>
                <c:pt idx="1">
                  <c:v>2008-2012</c:v>
                </c:pt>
                <c:pt idx="2">
                  <c:v>2012-2019</c:v>
                </c:pt>
                <c:pt idx="3">
                  <c:v>2019-2020</c:v>
                </c:pt>
              </c:strCache>
            </c:strRef>
          </c:cat>
          <c:val>
            <c:numRef>
              <c:f>(Indicators!$O$611,Indicators!$S$611,Indicators!$Z$611,Indicators!$AA$611)</c:f>
              <c:numCache>
                <c:formatCode>0.00%</c:formatCode>
                <c:ptCount val="4"/>
                <c:pt idx="0">
                  <c:v>-2.8097335871503279E-3</c:v>
                </c:pt>
                <c:pt idx="1">
                  <c:v>1.091448070315304E-2</c:v>
                </c:pt>
                <c:pt idx="2">
                  <c:v>3.7680552069471948E-2</c:v>
                </c:pt>
                <c:pt idx="3">
                  <c:v>4.8051068228824656E-2</c:v>
                </c:pt>
              </c:numCache>
            </c:numRef>
          </c:val>
          <c:extLst>
            <c:ext xmlns:c16="http://schemas.microsoft.com/office/drawing/2014/chart" uri="{C3380CC4-5D6E-409C-BE32-E72D297353CC}">
              <c16:uniqueId val="{0000000C-47DB-4567-A86D-509E4E41F177}"/>
            </c:ext>
          </c:extLst>
        </c:ser>
        <c:dLbls>
          <c:showLegendKey val="0"/>
          <c:showVal val="0"/>
          <c:showCatName val="0"/>
          <c:showSerName val="0"/>
          <c:showPercent val="0"/>
          <c:showBubbleSize val="0"/>
        </c:dLbls>
        <c:gapWidth val="219"/>
        <c:overlap val="-27"/>
        <c:axId val="430857296"/>
        <c:axId val="430857936"/>
      </c:barChart>
      <c:catAx>
        <c:axId val="430857296"/>
        <c:scaling>
          <c:orientation val="minMax"/>
        </c:scaling>
        <c:delete val="0"/>
        <c:axPos val="b"/>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0857936"/>
        <c:crosses val="autoZero"/>
        <c:auto val="1"/>
        <c:lblAlgn val="ctr"/>
        <c:lblOffset val="100"/>
        <c:tickMarkSkip val="1"/>
        <c:noMultiLvlLbl val="0"/>
      </c:catAx>
      <c:valAx>
        <c:axId val="430857936"/>
        <c:scaling>
          <c:orientation val="minMax"/>
          <c:min val="-0.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a:t>
                </a:r>
                <a:r>
                  <a:rPr lang="en-US" baseline="0"/>
                  <a:t> Annual Percent Change within Time Period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0857296"/>
        <c:crosses val="autoZero"/>
        <c:crossBetween val="between"/>
      </c:valAx>
      <c:spPr>
        <a:noFill/>
        <a:ln>
          <a:noFill/>
        </a:ln>
        <a:effectLst/>
      </c:spPr>
    </c:plotArea>
    <c:legend>
      <c:legendPos val="l"/>
      <c:layout>
        <c:manualLayout>
          <c:xMode val="edge"/>
          <c:yMode val="edge"/>
          <c:x val="4.6565774155995342E-3"/>
          <c:y val="3.3272455526392533E-2"/>
          <c:w val="8.8574526794519479E-2"/>
          <c:h val="0.934838750692495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Jobs, Housing, Shopping, </a:t>
            </a:r>
          </a:p>
          <a:p>
            <a:pPr>
              <a:defRPr/>
            </a:pPr>
            <a:r>
              <a:rPr lang="en-US"/>
              <a:t>Education, Cultural Activity in Town</a:t>
            </a:r>
          </a:p>
        </c:rich>
      </c:tx>
      <c:layout>
        <c:manualLayout>
          <c:xMode val="edge"/>
          <c:yMode val="edge"/>
          <c:x val="1.0028653295128941E-2"/>
          <c:y val="5.5555555555555552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987741195310975"/>
          <c:y val="5.0925925925925923E-2"/>
          <c:w val="0.8059040344070959"/>
          <c:h val="0.8416746864975212"/>
        </c:manualLayout>
      </c:layout>
      <c:lineChart>
        <c:grouping val="standard"/>
        <c:varyColors val="0"/>
        <c:ser>
          <c:idx val="1"/>
          <c:order val="0"/>
          <c:tx>
            <c:strRef>
              <c:f>Indicators!$C$339</c:f>
              <c:strCache>
                <c:ptCount val="1"/>
                <c:pt idx="0">
                  <c:v>Percentage of Wage Jobs in Town</c:v>
                </c:pt>
              </c:strCache>
            </c:strRef>
          </c:tx>
          <c:spPr>
            <a:ln w="19050" cap="rnd">
              <a:solidFill>
                <a:schemeClr val="accent2"/>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Indicators!$I$339:$AK$339</c:f>
              <c:numCache>
                <c:formatCode>0.0%</c:formatCode>
                <c:ptCount val="29"/>
                <c:pt idx="0">
                  <c:v>0.73057671381936884</c:v>
                </c:pt>
                <c:pt idx="1">
                  <c:v>0.72231567143257636</c:v>
                </c:pt>
                <c:pt idx="2">
                  <c:v>0.73826516607191872</c:v>
                </c:pt>
                <c:pt idx="3">
                  <c:v>0.73426527096859684</c:v>
                </c:pt>
                <c:pt idx="4">
                  <c:v>0.73431758107149769</c:v>
                </c:pt>
                <c:pt idx="5">
                  <c:v>0.70436187399030692</c:v>
                </c:pt>
                <c:pt idx="6">
                  <c:v>0.68617737003058099</c:v>
                </c:pt>
                <c:pt idx="7">
                  <c:v>0.64659135688953107</c:v>
                </c:pt>
                <c:pt idx="8">
                  <c:v>0.7266617380200282</c:v>
                </c:pt>
                <c:pt idx="9">
                  <c:v>0.6753360215053763</c:v>
                </c:pt>
                <c:pt idx="10">
                  <c:v>0.60095802009181021</c:v>
                </c:pt>
                <c:pt idx="11">
                  <c:v>0.59251905463395893</c:v>
                </c:pt>
                <c:pt idx="12">
                  <c:v>0.59621848739495797</c:v>
                </c:pt>
                <c:pt idx="13">
                  <c:v>0.6023552847433794</c:v>
                </c:pt>
                <c:pt idx="14">
                  <c:v>0.61090465683428175</c:v>
                </c:pt>
                <c:pt idx="15">
                  <c:v>0.60778990525790899</c:v>
                </c:pt>
                <c:pt idx="16">
                  <c:v>0.59928922908693272</c:v>
                </c:pt>
                <c:pt idx="17">
                  <c:v>0</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0-49A0-466B-949A-DC10008B63E3}"/>
            </c:ext>
          </c:extLst>
        </c:ser>
        <c:ser>
          <c:idx val="0"/>
          <c:order val="1"/>
          <c:tx>
            <c:strRef>
              <c:f>Indicators!$C$340</c:f>
              <c:strCache>
                <c:ptCount val="1"/>
                <c:pt idx="0">
                  <c:v>Percentage of Residential Units in Town</c:v>
                </c:pt>
              </c:strCache>
            </c:strRef>
          </c:tx>
          <c:spPr>
            <a:ln w="19050" cap="rnd">
              <a:solidFill>
                <a:schemeClr val="accent1"/>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Indicators!$I$340:$AK$340</c:f>
              <c:numCache>
                <c:formatCode>0.0%</c:formatCode>
                <c:ptCount val="29"/>
                <c:pt idx="0">
                  <c:v>0.46202919887130411</c:v>
                </c:pt>
                <c:pt idx="1">
                  <c:v>0.46126169345166707</c:v>
                </c:pt>
                <c:pt idx="2">
                  <c:v>0.46414135581475924</c:v>
                </c:pt>
                <c:pt idx="3">
                  <c:v>0.4639818491208168</c:v>
                </c:pt>
                <c:pt idx="4">
                  <c:v>0.46571869488536155</c:v>
                </c:pt>
                <c:pt idx="5">
                  <c:v>0.46352024247672657</c:v>
                </c:pt>
                <c:pt idx="6">
                  <c:v>0.46134212485377007</c:v>
                </c:pt>
                <c:pt idx="7">
                  <c:v>0.45941151919866446</c:v>
                </c:pt>
                <c:pt idx="8">
                  <c:v>0.45560795571047774</c:v>
                </c:pt>
                <c:pt idx="9">
                  <c:v>0.45418448381185095</c:v>
                </c:pt>
                <c:pt idx="10">
                  <c:v>0.45403984224896349</c:v>
                </c:pt>
                <c:pt idx="11">
                  <c:v>0.452572347266881</c:v>
                </c:pt>
                <c:pt idx="12">
                  <c:v>0.45337045138198451</c:v>
                </c:pt>
                <c:pt idx="13">
                  <c:v>0.45203730976926854</c:v>
                </c:pt>
                <c:pt idx="14">
                  <c:v>0.45221942236867613</c:v>
                </c:pt>
                <c:pt idx="15">
                  <c:v>0.44992340099578704</c:v>
                </c:pt>
                <c:pt idx="16">
                  <c:v>0.44921396968841193</c:v>
                </c:pt>
                <c:pt idx="17">
                  <c:v>0.45189558158841436</c:v>
                </c:pt>
                <c:pt idx="18">
                  <c:v>0.45629576064358673</c:v>
                </c:pt>
                <c:pt idx="19">
                  <c:v>0.45629576064358673</c:v>
                </c:pt>
                <c:pt idx="20">
                  <c:v>0.45629576064358673</c:v>
                </c:pt>
                <c:pt idx="21">
                  <c:v>0.45629576064358673</c:v>
                </c:pt>
                <c:pt idx="22">
                  <c:v>0.45629576064358673</c:v>
                </c:pt>
                <c:pt idx="23">
                  <c:v>0.45629576064358673</c:v>
                </c:pt>
                <c:pt idx="24">
                  <c:v>0.45629576064358673</c:v>
                </c:pt>
                <c:pt idx="25">
                  <c:v>0.45629576064358673</c:v>
                </c:pt>
                <c:pt idx="26">
                  <c:v>0.45629576064358673</c:v>
                </c:pt>
                <c:pt idx="27">
                  <c:v>0.45629576064358673</c:v>
                </c:pt>
                <c:pt idx="28">
                  <c:v>0.45629576064358673</c:v>
                </c:pt>
              </c:numCache>
            </c:numRef>
          </c:val>
          <c:smooth val="0"/>
          <c:extLst>
            <c:ext xmlns:c16="http://schemas.microsoft.com/office/drawing/2014/chart" uri="{C3380CC4-5D6E-409C-BE32-E72D297353CC}">
              <c16:uniqueId val="{00000001-49A0-466B-949A-DC10008B63E3}"/>
            </c:ext>
          </c:extLst>
        </c:ser>
        <c:ser>
          <c:idx val="6"/>
          <c:order val="2"/>
          <c:tx>
            <c:strRef>
              <c:f>Indicators!$C$345</c:f>
              <c:strCache>
                <c:ptCount val="1"/>
                <c:pt idx="0">
                  <c:v>Percentage of Shopping in Town</c:v>
                </c:pt>
              </c:strCache>
            </c:strRef>
          </c:tx>
          <c:spPr>
            <a:ln w="19050" cap="rnd">
              <a:solidFill>
                <a:schemeClr val="accent1">
                  <a:lumMod val="60000"/>
                </a:schemeClr>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Indicators!$I$345:$AK$345</c:f>
              <c:numCache>
                <c:formatCode>0.0%</c:formatCode>
                <c:ptCount val="29"/>
              </c:numCache>
            </c:numRef>
          </c:val>
          <c:smooth val="0"/>
          <c:extLst>
            <c:ext xmlns:c16="http://schemas.microsoft.com/office/drawing/2014/chart" uri="{C3380CC4-5D6E-409C-BE32-E72D297353CC}">
              <c16:uniqueId val="{00000005-7DEF-43DF-A27C-B5744BD00534}"/>
            </c:ext>
          </c:extLst>
        </c:ser>
        <c:ser>
          <c:idx val="7"/>
          <c:order val="3"/>
          <c:tx>
            <c:strRef>
              <c:f>Indicators!$C$346</c:f>
              <c:strCache>
                <c:ptCount val="1"/>
                <c:pt idx="0">
                  <c:v>Percentage of Education Floor Area in Town</c:v>
                </c:pt>
              </c:strCache>
            </c:strRef>
          </c:tx>
          <c:spPr>
            <a:ln w="19050" cap="rnd">
              <a:solidFill>
                <a:schemeClr val="accent2">
                  <a:lumMod val="60000"/>
                </a:schemeClr>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Indicators!$I$346:$AK$346</c:f>
              <c:numCache>
                <c:formatCode>0.0%</c:formatCode>
                <c:ptCount val="29"/>
                <c:pt idx="0">
                  <c:v>0.76300573014263473</c:v>
                </c:pt>
                <c:pt idx="1">
                  <c:v>0.75757264153715076</c:v>
                </c:pt>
                <c:pt idx="2">
                  <c:v>0.75918531881168616</c:v>
                </c:pt>
                <c:pt idx="3">
                  <c:v>0.71662310945439667</c:v>
                </c:pt>
                <c:pt idx="4">
                  <c:v>0.67031079406651317</c:v>
                </c:pt>
                <c:pt idx="5">
                  <c:v>0.67031079406651317</c:v>
                </c:pt>
                <c:pt idx="6">
                  <c:v>0.6702284380194139</c:v>
                </c:pt>
                <c:pt idx="7">
                  <c:v>0.6702284380194139</c:v>
                </c:pt>
                <c:pt idx="8">
                  <c:v>0.67432736312428643</c:v>
                </c:pt>
                <c:pt idx="9">
                  <c:v>0.67432736312428643</c:v>
                </c:pt>
                <c:pt idx="10">
                  <c:v>0.67432736312428643</c:v>
                </c:pt>
                <c:pt idx="11">
                  <c:v>0.67432736312428643</c:v>
                </c:pt>
                <c:pt idx="12">
                  <c:v>0.67432736312428643</c:v>
                </c:pt>
                <c:pt idx="13">
                  <c:v>0.67817986911109307</c:v>
                </c:pt>
                <c:pt idx="14">
                  <c:v>0.67817986911109307</c:v>
                </c:pt>
                <c:pt idx="15">
                  <c:v>0.67817986911109307</c:v>
                </c:pt>
                <c:pt idx="16">
                  <c:v>0.59979499663666358</c:v>
                </c:pt>
                <c:pt idx="17">
                  <c:v>0.59740872900791697</c:v>
                </c:pt>
                <c:pt idx="18">
                  <c:v>0.59682676979104998</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6-7DEF-43DF-A27C-B5744BD00534}"/>
            </c:ext>
          </c:extLst>
        </c:ser>
        <c:ser>
          <c:idx val="10"/>
          <c:order val="4"/>
          <c:tx>
            <c:strRef>
              <c:f>Indicators!$C$349</c:f>
              <c:strCache>
                <c:ptCount val="1"/>
                <c:pt idx="0">
                  <c:v>Percentage of Cultural Activities in Town</c:v>
                </c:pt>
              </c:strCache>
            </c:strRef>
          </c:tx>
          <c:spPr>
            <a:ln w="19050" cap="rnd">
              <a:solidFill>
                <a:schemeClr val="accent5">
                  <a:lumMod val="60000"/>
                </a:schemeClr>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Indicators!$I$349:$AK$349</c:f>
              <c:numCache>
                <c:formatCode>0.0%</c:formatCode>
                <c:ptCount val="29"/>
              </c:numCache>
            </c:numRef>
          </c:val>
          <c:smooth val="0"/>
          <c:extLst>
            <c:ext xmlns:c16="http://schemas.microsoft.com/office/drawing/2014/chart" uri="{C3380CC4-5D6E-409C-BE32-E72D297353CC}">
              <c16:uniqueId val="{00000009-7DEF-43DF-A27C-B5744BD00534}"/>
            </c:ext>
          </c:extLst>
        </c:ser>
        <c:dLbls>
          <c:showLegendKey val="0"/>
          <c:showVal val="0"/>
          <c:showCatName val="0"/>
          <c:showSerName val="0"/>
          <c:showPercent val="0"/>
          <c:showBubbleSize val="0"/>
        </c:dLbls>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in Town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spPr>
        <a:noFill/>
        <a:ln>
          <a:noFill/>
        </a:ln>
        <a:effectLst/>
      </c:spPr>
    </c:plotArea>
    <c:legend>
      <c:legendPos val="l"/>
      <c:layout>
        <c:manualLayout>
          <c:xMode val="edge"/>
          <c:yMode val="edge"/>
          <c:x val="2.0392572704916182E-2"/>
          <c:y val="0.31799686497521146"/>
          <c:w val="0.14631066703875359"/>
          <c:h val="0.389276080974307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Capital Project Group 1 (Hwy 22) </a:t>
            </a:r>
          </a:p>
          <a:p>
            <a:pPr>
              <a:defRPr/>
            </a:pPr>
            <a:r>
              <a:rPr lang="en-US"/>
              <a:t>Benchmarks</a:t>
            </a:r>
          </a:p>
        </c:rich>
      </c:tx>
      <c:layout>
        <c:manualLayout>
          <c:xMode val="edge"/>
          <c:yMode val="edge"/>
          <c:x val="1.4219694276573054E-2"/>
          <c:y val="6.7796610169491525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77535682195434"/>
          <c:y val="5.0925925925925923E-2"/>
          <c:w val="0.82422416358993167"/>
          <c:h val="0.8416746864975212"/>
        </c:manualLayout>
      </c:layout>
      <c:areaChart>
        <c:grouping val="stacked"/>
        <c:varyColors val="0"/>
        <c:ser>
          <c:idx val="3"/>
          <c:order val="0"/>
          <c:tx>
            <c:v>Below 1st Bench</c:v>
          </c:tx>
          <c:spPr>
            <a:noFill/>
            <a:ln>
              <a:noFill/>
            </a:ln>
            <a:effectLst/>
          </c:spP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Indicators!$I$985:$AK$985</c:f>
              <c:numCache>
                <c:formatCode>#,##0</c:formatCode>
                <c:ptCount val="29"/>
                <c:pt idx="0">
                  <c:v>18600</c:v>
                </c:pt>
                <c:pt idx="1">
                  <c:v>18600</c:v>
                </c:pt>
                <c:pt idx="2">
                  <c:v>18600</c:v>
                </c:pt>
                <c:pt idx="3">
                  <c:v>18600</c:v>
                </c:pt>
                <c:pt idx="4">
                  <c:v>18600</c:v>
                </c:pt>
                <c:pt idx="5">
                  <c:v>18600</c:v>
                </c:pt>
                <c:pt idx="6">
                  <c:v>18600</c:v>
                </c:pt>
                <c:pt idx="7">
                  <c:v>18600</c:v>
                </c:pt>
                <c:pt idx="8">
                  <c:v>18600</c:v>
                </c:pt>
                <c:pt idx="9">
                  <c:v>18600</c:v>
                </c:pt>
                <c:pt idx="10">
                  <c:v>18600</c:v>
                </c:pt>
                <c:pt idx="11">
                  <c:v>18600</c:v>
                </c:pt>
                <c:pt idx="12">
                  <c:v>18600</c:v>
                </c:pt>
                <c:pt idx="13">
                  <c:v>18600</c:v>
                </c:pt>
                <c:pt idx="14">
                  <c:v>18600</c:v>
                </c:pt>
                <c:pt idx="15">
                  <c:v>18600</c:v>
                </c:pt>
                <c:pt idx="16">
                  <c:v>18600</c:v>
                </c:pt>
                <c:pt idx="17">
                  <c:v>18600</c:v>
                </c:pt>
                <c:pt idx="18">
                  <c:v>18600</c:v>
                </c:pt>
                <c:pt idx="19">
                  <c:v>18600</c:v>
                </c:pt>
                <c:pt idx="20">
                  <c:v>18600</c:v>
                </c:pt>
                <c:pt idx="21">
                  <c:v>18600</c:v>
                </c:pt>
                <c:pt idx="22">
                  <c:v>18600</c:v>
                </c:pt>
                <c:pt idx="23">
                  <c:v>18600</c:v>
                </c:pt>
                <c:pt idx="24">
                  <c:v>18600</c:v>
                </c:pt>
                <c:pt idx="25">
                  <c:v>18600</c:v>
                </c:pt>
                <c:pt idx="26">
                  <c:v>18600</c:v>
                </c:pt>
                <c:pt idx="27">
                  <c:v>18600</c:v>
                </c:pt>
                <c:pt idx="28">
                  <c:v>18600</c:v>
                </c:pt>
              </c:numCache>
            </c:numRef>
          </c:val>
          <c:extLst>
            <c:ext xmlns:c16="http://schemas.microsoft.com/office/drawing/2014/chart" uri="{C3380CC4-5D6E-409C-BE32-E72D297353CC}">
              <c16:uniqueId val="{00000003-BD54-4768-8D69-5FE6F34D1207}"/>
            </c:ext>
          </c:extLst>
        </c:ser>
        <c:ser>
          <c:idx val="1"/>
          <c:order val="1"/>
          <c:tx>
            <c:strRef>
              <c:f>Indicators!$D$985</c:f>
              <c:strCache>
                <c:ptCount val="1"/>
                <c:pt idx="0">
                  <c:v>Preliminary Engineering Benchmark</c:v>
                </c:pt>
              </c:strCache>
            </c:strRef>
          </c:tx>
          <c:spPr>
            <a:solidFill>
              <a:schemeClr val="accent2">
                <a:alpha val="50000"/>
              </a:schemeClr>
            </a:solidFill>
            <a:ln w="25400">
              <a:noFill/>
            </a:ln>
            <a:effectLst/>
          </c:spP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Indicators!$I$984:$AK$984</c:f>
              <c:numCache>
                <c:formatCode>#,##0</c:formatCode>
                <c:ptCount val="29"/>
                <c:pt idx="0">
                  <c:v>1400</c:v>
                </c:pt>
                <c:pt idx="1">
                  <c:v>1400</c:v>
                </c:pt>
                <c:pt idx="2">
                  <c:v>1400</c:v>
                </c:pt>
                <c:pt idx="3">
                  <c:v>1400</c:v>
                </c:pt>
                <c:pt idx="4">
                  <c:v>1400</c:v>
                </c:pt>
                <c:pt idx="5">
                  <c:v>1400</c:v>
                </c:pt>
                <c:pt idx="6">
                  <c:v>1400</c:v>
                </c:pt>
                <c:pt idx="7">
                  <c:v>1400</c:v>
                </c:pt>
                <c:pt idx="8">
                  <c:v>1400</c:v>
                </c:pt>
                <c:pt idx="9">
                  <c:v>1400</c:v>
                </c:pt>
                <c:pt idx="10">
                  <c:v>1400</c:v>
                </c:pt>
                <c:pt idx="11">
                  <c:v>1400</c:v>
                </c:pt>
                <c:pt idx="12">
                  <c:v>1400</c:v>
                </c:pt>
                <c:pt idx="13">
                  <c:v>1400</c:v>
                </c:pt>
                <c:pt idx="14">
                  <c:v>1400</c:v>
                </c:pt>
                <c:pt idx="15">
                  <c:v>1400</c:v>
                </c:pt>
                <c:pt idx="16">
                  <c:v>1400</c:v>
                </c:pt>
                <c:pt idx="17">
                  <c:v>1400</c:v>
                </c:pt>
                <c:pt idx="18">
                  <c:v>1400</c:v>
                </c:pt>
                <c:pt idx="19">
                  <c:v>1400</c:v>
                </c:pt>
                <c:pt idx="20">
                  <c:v>1400</c:v>
                </c:pt>
                <c:pt idx="21">
                  <c:v>1400</c:v>
                </c:pt>
                <c:pt idx="22">
                  <c:v>1400</c:v>
                </c:pt>
                <c:pt idx="23">
                  <c:v>1400</c:v>
                </c:pt>
                <c:pt idx="24">
                  <c:v>1400</c:v>
                </c:pt>
                <c:pt idx="25">
                  <c:v>1400</c:v>
                </c:pt>
                <c:pt idx="26">
                  <c:v>1400</c:v>
                </c:pt>
                <c:pt idx="27">
                  <c:v>1400</c:v>
                </c:pt>
                <c:pt idx="28">
                  <c:v>1400</c:v>
                </c:pt>
              </c:numCache>
            </c:numRef>
          </c:val>
          <c:extLst>
            <c:ext xmlns:c16="http://schemas.microsoft.com/office/drawing/2014/chart" uri="{C3380CC4-5D6E-409C-BE32-E72D297353CC}">
              <c16:uniqueId val="{00000002-BD54-4768-8D69-5FE6F34D1207}"/>
            </c:ext>
          </c:extLst>
        </c:ser>
        <c:ser>
          <c:idx val="0"/>
          <c:order val="2"/>
          <c:tx>
            <c:strRef>
              <c:f>Indicators!$D$983</c:f>
              <c:strCache>
                <c:ptCount val="1"/>
                <c:pt idx="0">
                  <c:v>Construction Benchmark</c:v>
                </c:pt>
              </c:strCache>
            </c:strRef>
          </c:tx>
          <c:spPr>
            <a:solidFill>
              <a:srgbClr val="C00000">
                <a:alpha val="50000"/>
              </a:srgbClr>
            </a:solidFill>
            <a:ln w="25400">
              <a:noFill/>
            </a:ln>
            <a:effectLst/>
          </c:spP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Indicators!$I$982:$AK$982</c:f>
              <c:numCache>
                <c:formatCode>#,##0</c:formatCode>
                <c:ptCount val="29"/>
                <c:pt idx="0">
                  <c:v>100000</c:v>
                </c:pt>
                <c:pt idx="1">
                  <c:v>100000</c:v>
                </c:pt>
                <c:pt idx="2">
                  <c:v>100000</c:v>
                </c:pt>
                <c:pt idx="3">
                  <c:v>100000</c:v>
                </c:pt>
                <c:pt idx="4">
                  <c:v>100000</c:v>
                </c:pt>
                <c:pt idx="5">
                  <c:v>100000</c:v>
                </c:pt>
                <c:pt idx="6">
                  <c:v>100000</c:v>
                </c:pt>
                <c:pt idx="7">
                  <c:v>100000</c:v>
                </c:pt>
                <c:pt idx="8">
                  <c:v>100000</c:v>
                </c:pt>
                <c:pt idx="9">
                  <c:v>100000</c:v>
                </c:pt>
                <c:pt idx="10">
                  <c:v>100000</c:v>
                </c:pt>
                <c:pt idx="11">
                  <c:v>100000</c:v>
                </c:pt>
                <c:pt idx="12">
                  <c:v>100000</c:v>
                </c:pt>
                <c:pt idx="13">
                  <c:v>100000</c:v>
                </c:pt>
                <c:pt idx="14">
                  <c:v>100000</c:v>
                </c:pt>
                <c:pt idx="15">
                  <c:v>100000</c:v>
                </c:pt>
                <c:pt idx="16">
                  <c:v>100000</c:v>
                </c:pt>
                <c:pt idx="17">
                  <c:v>100000</c:v>
                </c:pt>
                <c:pt idx="18">
                  <c:v>100000</c:v>
                </c:pt>
                <c:pt idx="19">
                  <c:v>100000</c:v>
                </c:pt>
                <c:pt idx="20">
                  <c:v>100000</c:v>
                </c:pt>
                <c:pt idx="21">
                  <c:v>100000</c:v>
                </c:pt>
                <c:pt idx="22">
                  <c:v>100000</c:v>
                </c:pt>
                <c:pt idx="23">
                  <c:v>100000</c:v>
                </c:pt>
                <c:pt idx="24">
                  <c:v>100000</c:v>
                </c:pt>
                <c:pt idx="25">
                  <c:v>100000</c:v>
                </c:pt>
                <c:pt idx="26">
                  <c:v>100000</c:v>
                </c:pt>
                <c:pt idx="27">
                  <c:v>100000</c:v>
                </c:pt>
                <c:pt idx="28">
                  <c:v>100000</c:v>
                </c:pt>
              </c:numCache>
            </c:numRef>
          </c:val>
          <c:extLst>
            <c:ext xmlns:c16="http://schemas.microsoft.com/office/drawing/2014/chart" uri="{C3380CC4-5D6E-409C-BE32-E72D297353CC}">
              <c16:uniqueId val="{00000001-BD54-4768-8D69-5FE6F34D1207}"/>
            </c:ext>
          </c:extLst>
        </c:ser>
        <c:dLbls>
          <c:showLegendKey val="0"/>
          <c:showVal val="0"/>
          <c:showCatName val="0"/>
          <c:showSerName val="0"/>
          <c:showPercent val="0"/>
          <c:showBubbleSize val="0"/>
        </c:dLbls>
        <c:axId val="820790392"/>
        <c:axId val="820794232"/>
      </c:areaChart>
      <c:barChart>
        <c:barDir val="col"/>
        <c:grouping val="clustered"/>
        <c:varyColors val="0"/>
        <c:ser>
          <c:idx val="5"/>
          <c:order val="5"/>
          <c:tx>
            <c:strRef>
              <c:f>Indicators!$D$988</c:f>
              <c:strCache>
                <c:ptCount val="1"/>
                <c:pt idx="0">
                  <c:v>Actual Summer Average MAWT</c:v>
                </c:pt>
              </c:strCache>
            </c:strRef>
          </c:tx>
          <c:spPr>
            <a:solidFill>
              <a:schemeClr val="accent1"/>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Indicators!$I$988:$AK$988</c:f>
              <c:numCache>
                <c:formatCode>#,##0</c:formatCode>
                <c:ptCount val="29"/>
                <c:pt idx="0">
                  <c:v>0</c:v>
                </c:pt>
                <c:pt idx="1">
                  <c:v>0</c:v>
                </c:pt>
                <c:pt idx="2">
                  <c:v>0</c:v>
                </c:pt>
                <c:pt idx="3">
                  <c:v>0</c:v>
                </c:pt>
                <c:pt idx="4">
                  <c:v>0</c:v>
                </c:pt>
                <c:pt idx="5">
                  <c:v>0</c:v>
                </c:pt>
                <c:pt idx="6">
                  <c:v>0</c:v>
                </c:pt>
                <c:pt idx="7">
                  <c:v>20377.75</c:v>
                </c:pt>
                <c:pt idx="8">
                  <c:v>20220.25</c:v>
                </c:pt>
                <c:pt idx="9">
                  <c:v>19752.75</c:v>
                </c:pt>
                <c:pt idx="10">
                  <c:v>20511.75</c:v>
                </c:pt>
                <c:pt idx="11">
                  <c:v>20922.5</c:v>
                </c:pt>
                <c:pt idx="12">
                  <c:v>21379.25</c:v>
                </c:pt>
                <c:pt idx="13">
                  <c:v>22202.25</c:v>
                </c:pt>
                <c:pt idx="14">
                  <c:v>23337</c:v>
                </c:pt>
                <c:pt idx="15">
                  <c:v>21767.5</c:v>
                </c:pt>
                <c:pt idx="16">
                  <c:v>22745</c:v>
                </c:pt>
                <c:pt idx="17">
                  <c:v>23378.25</c:v>
                </c:pt>
                <c:pt idx="18">
                  <c:v>22217.75</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6-BD54-4768-8D69-5FE6F34D1207}"/>
            </c:ext>
          </c:extLst>
        </c:ser>
        <c:dLbls>
          <c:showLegendKey val="0"/>
          <c:showVal val="0"/>
          <c:showCatName val="0"/>
          <c:showSerName val="0"/>
          <c:showPercent val="0"/>
          <c:showBubbleSize val="0"/>
        </c:dLbls>
        <c:gapWidth val="150"/>
        <c:axId val="820790392"/>
        <c:axId val="820794232"/>
      </c:barChart>
      <c:lineChart>
        <c:grouping val="standard"/>
        <c:varyColors val="0"/>
        <c:ser>
          <c:idx val="2"/>
          <c:order val="3"/>
          <c:tx>
            <c:strRef>
              <c:f>Indicators!$D$986</c:f>
              <c:strCache>
                <c:ptCount val="1"/>
                <c:pt idx="0">
                  <c:v>Baseline Forecast</c:v>
                </c:pt>
              </c:strCache>
            </c:strRef>
          </c:tx>
          <c:spPr>
            <a:ln w="38100" cap="rnd">
              <a:solidFill>
                <a:schemeClr val="accent5"/>
              </a:solidFill>
              <a:prstDash val="sysDot"/>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Indicators!$I$986:$AK$986</c:f>
              <c:numCache>
                <c:formatCode>#,##0</c:formatCode>
                <c:ptCount val="29"/>
                <c:pt idx="7">
                  <c:v>19436.363636363647</c:v>
                </c:pt>
                <c:pt idx="8">
                  <c:v>19727.272727272823</c:v>
                </c:pt>
                <c:pt idx="9">
                  <c:v>20018.181818181882</c:v>
                </c:pt>
                <c:pt idx="10">
                  <c:v>20309.090909090941</c:v>
                </c:pt>
                <c:pt idx="11">
                  <c:v>20600</c:v>
                </c:pt>
                <c:pt idx="12">
                  <c:v>20890.909090909176</c:v>
                </c:pt>
                <c:pt idx="13">
                  <c:v>21181.818181818235</c:v>
                </c:pt>
                <c:pt idx="14">
                  <c:v>21472.727272727294</c:v>
                </c:pt>
                <c:pt idx="15">
                  <c:v>21763.636363636469</c:v>
                </c:pt>
                <c:pt idx="16">
                  <c:v>22054.545454545529</c:v>
                </c:pt>
                <c:pt idx="17">
                  <c:v>22345.454545454588</c:v>
                </c:pt>
                <c:pt idx="18">
                  <c:v>22636.363636363647</c:v>
                </c:pt>
                <c:pt idx="19">
                  <c:v>22927.272727272823</c:v>
                </c:pt>
                <c:pt idx="20">
                  <c:v>23218.181818181882</c:v>
                </c:pt>
                <c:pt idx="21">
                  <c:v>23509.090909090941</c:v>
                </c:pt>
                <c:pt idx="22">
                  <c:v>23800</c:v>
                </c:pt>
                <c:pt idx="23">
                  <c:v>24090.909090909176</c:v>
                </c:pt>
                <c:pt idx="24">
                  <c:v>24381.818181818235</c:v>
                </c:pt>
                <c:pt idx="25">
                  <c:v>24672.727272727294</c:v>
                </c:pt>
                <c:pt idx="26">
                  <c:v>24963.636363636469</c:v>
                </c:pt>
                <c:pt idx="27">
                  <c:v>25254.545454545529</c:v>
                </c:pt>
                <c:pt idx="28">
                  <c:v>25545.454545454588</c:v>
                </c:pt>
              </c:numCache>
            </c:numRef>
          </c:val>
          <c:smooth val="0"/>
          <c:extLst>
            <c:ext xmlns:c16="http://schemas.microsoft.com/office/drawing/2014/chart" uri="{C3380CC4-5D6E-409C-BE32-E72D297353CC}">
              <c16:uniqueId val="{00000005-BD54-4768-8D69-5FE6F34D1207}"/>
            </c:ext>
          </c:extLst>
        </c:ser>
        <c:ser>
          <c:idx val="4"/>
          <c:order val="4"/>
          <c:tx>
            <c:strRef>
              <c:f>Indicators!$D$987</c:f>
              <c:strCache>
                <c:ptCount val="1"/>
                <c:pt idx="0">
                  <c:v>ITP Scenario</c:v>
                </c:pt>
              </c:strCache>
            </c:strRef>
          </c:tx>
          <c:spPr>
            <a:ln w="25400" cap="rnd">
              <a:solidFill>
                <a:schemeClr val="accent6"/>
              </a:solidFill>
              <a:prstDash val="dash"/>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Indicators!$I$987:$AK$987</c:f>
              <c:numCache>
                <c:formatCode>#,##0</c:formatCode>
                <c:ptCount val="29"/>
                <c:pt idx="14">
                  <c:v>21463.636363636353</c:v>
                </c:pt>
                <c:pt idx="15">
                  <c:v>21618.181818181765</c:v>
                </c:pt>
                <c:pt idx="16">
                  <c:v>21772.727272727236</c:v>
                </c:pt>
                <c:pt idx="17">
                  <c:v>21927.272727272706</c:v>
                </c:pt>
                <c:pt idx="18">
                  <c:v>22081.818181818177</c:v>
                </c:pt>
                <c:pt idx="19">
                  <c:v>22236.363636363589</c:v>
                </c:pt>
                <c:pt idx="20">
                  <c:v>22390.909090909059</c:v>
                </c:pt>
                <c:pt idx="21">
                  <c:v>22545.45454545453</c:v>
                </c:pt>
                <c:pt idx="22">
                  <c:v>22700</c:v>
                </c:pt>
                <c:pt idx="23">
                  <c:v>22854.545454545412</c:v>
                </c:pt>
                <c:pt idx="24">
                  <c:v>23009.090909090883</c:v>
                </c:pt>
                <c:pt idx="25">
                  <c:v>23163.636363636353</c:v>
                </c:pt>
                <c:pt idx="26">
                  <c:v>23318.181818181765</c:v>
                </c:pt>
                <c:pt idx="27">
                  <c:v>23472.727272727236</c:v>
                </c:pt>
                <c:pt idx="28">
                  <c:v>23627.272727272706</c:v>
                </c:pt>
              </c:numCache>
            </c:numRef>
          </c:val>
          <c:smooth val="0"/>
          <c:extLst>
            <c:ext xmlns:c16="http://schemas.microsoft.com/office/drawing/2014/chart" uri="{C3380CC4-5D6E-409C-BE32-E72D297353CC}">
              <c16:uniqueId val="{00000004-BD54-4768-8D69-5FE6F34D1207}"/>
            </c:ext>
          </c:extLst>
        </c:ser>
        <c:dLbls>
          <c:showLegendKey val="0"/>
          <c:showVal val="0"/>
          <c:showCatName val="0"/>
          <c:showSerName val="0"/>
          <c:showPercent val="0"/>
          <c:showBubbleSize val="0"/>
        </c:dLbls>
        <c:marker val="1"/>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max val="27000"/>
          <c:min val="17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 Summer Weekday Vehicles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spPr>
        <a:noFill/>
        <a:ln>
          <a:noFill/>
        </a:ln>
        <a:effectLst/>
      </c:spPr>
    </c:plotArea>
    <c:legend>
      <c:legendPos val="l"/>
      <c:legendEntry>
        <c:idx val="2"/>
        <c:delete val="1"/>
      </c:legendEntry>
      <c:layout>
        <c:manualLayout>
          <c:xMode val="edge"/>
          <c:yMode val="edge"/>
          <c:x val="2.1329541414859581E-2"/>
          <c:y val="0.30932052137550597"/>
          <c:w val="7.969451916626312E-2"/>
          <c:h val="0.381358601361270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Capital Project Group 2 (Moose-Wilson) </a:t>
            </a:r>
          </a:p>
          <a:p>
            <a:pPr>
              <a:defRPr/>
            </a:pPr>
            <a:r>
              <a:rPr lang="en-US"/>
              <a:t>Benchmarks</a:t>
            </a:r>
          </a:p>
        </c:rich>
      </c:tx>
      <c:layout>
        <c:manualLayout>
          <c:xMode val="edge"/>
          <c:yMode val="edge"/>
          <c:x val="1.1375755421258443E-2"/>
          <c:y val="5.4237288135593219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77535682195434"/>
          <c:y val="5.0925925925925923E-2"/>
          <c:w val="0.82422416358993167"/>
          <c:h val="0.8416746864975212"/>
        </c:manualLayout>
      </c:layout>
      <c:areaChart>
        <c:grouping val="stacked"/>
        <c:varyColors val="0"/>
        <c:ser>
          <c:idx val="3"/>
          <c:order val="0"/>
          <c:tx>
            <c:v>Below 1st Bench</c:v>
          </c:tx>
          <c:spPr>
            <a:noFill/>
            <a:ln w="25400">
              <a:noFill/>
            </a:ln>
            <a:effectLst/>
          </c:spP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Indicators!$I$1008:$AK$1008</c:f>
              <c:numCache>
                <c:formatCode>#,##0</c:formatCode>
                <c:ptCount val="29"/>
                <c:pt idx="0">
                  <c:v>14136</c:v>
                </c:pt>
                <c:pt idx="1">
                  <c:v>14137</c:v>
                </c:pt>
                <c:pt idx="2">
                  <c:v>14138</c:v>
                </c:pt>
                <c:pt idx="3">
                  <c:v>14139</c:v>
                </c:pt>
                <c:pt idx="4">
                  <c:v>14140</c:v>
                </c:pt>
                <c:pt idx="5">
                  <c:v>14141</c:v>
                </c:pt>
                <c:pt idx="6">
                  <c:v>14142</c:v>
                </c:pt>
                <c:pt idx="7">
                  <c:v>14143</c:v>
                </c:pt>
                <c:pt idx="8">
                  <c:v>14144</c:v>
                </c:pt>
                <c:pt idx="9">
                  <c:v>14145</c:v>
                </c:pt>
                <c:pt idx="10">
                  <c:v>14146</c:v>
                </c:pt>
                <c:pt idx="11">
                  <c:v>14147</c:v>
                </c:pt>
                <c:pt idx="12">
                  <c:v>14148</c:v>
                </c:pt>
                <c:pt idx="13">
                  <c:v>14149</c:v>
                </c:pt>
                <c:pt idx="14">
                  <c:v>14150</c:v>
                </c:pt>
                <c:pt idx="15">
                  <c:v>14151</c:v>
                </c:pt>
                <c:pt idx="16">
                  <c:v>14152</c:v>
                </c:pt>
                <c:pt idx="17">
                  <c:v>14153</c:v>
                </c:pt>
                <c:pt idx="18">
                  <c:v>14154</c:v>
                </c:pt>
                <c:pt idx="19">
                  <c:v>14155</c:v>
                </c:pt>
                <c:pt idx="20">
                  <c:v>14156</c:v>
                </c:pt>
                <c:pt idx="21">
                  <c:v>14157</c:v>
                </c:pt>
                <c:pt idx="22">
                  <c:v>14158</c:v>
                </c:pt>
                <c:pt idx="23">
                  <c:v>14159</c:v>
                </c:pt>
                <c:pt idx="24">
                  <c:v>14160</c:v>
                </c:pt>
                <c:pt idx="25">
                  <c:v>14161</c:v>
                </c:pt>
                <c:pt idx="26">
                  <c:v>14162</c:v>
                </c:pt>
                <c:pt idx="27">
                  <c:v>14163</c:v>
                </c:pt>
                <c:pt idx="28">
                  <c:v>14164</c:v>
                </c:pt>
              </c:numCache>
            </c:numRef>
          </c:val>
          <c:extLst>
            <c:ext xmlns:c16="http://schemas.microsoft.com/office/drawing/2014/chart" uri="{C3380CC4-5D6E-409C-BE32-E72D297353CC}">
              <c16:uniqueId val="{00000000-73A5-4CA1-BCCE-0CBCDA07C38B}"/>
            </c:ext>
          </c:extLst>
        </c:ser>
        <c:ser>
          <c:idx val="1"/>
          <c:order val="1"/>
          <c:tx>
            <c:strRef>
              <c:f>Indicators!$D$985</c:f>
              <c:strCache>
                <c:ptCount val="1"/>
                <c:pt idx="0">
                  <c:v>Preliminary Engineering Benchmark</c:v>
                </c:pt>
              </c:strCache>
            </c:strRef>
          </c:tx>
          <c:spPr>
            <a:solidFill>
              <a:schemeClr val="accent2">
                <a:alpha val="50000"/>
              </a:schemeClr>
            </a:solidFill>
            <a:ln w="25400">
              <a:noFill/>
            </a:ln>
            <a:effectLst/>
          </c:spP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Indicators!$I$1007:$AK$1007</c:f>
              <c:numCache>
                <c:formatCode>#,##0</c:formatCode>
                <c:ptCount val="29"/>
                <c:pt idx="0">
                  <c:v>1064</c:v>
                </c:pt>
                <c:pt idx="1">
                  <c:v>1063</c:v>
                </c:pt>
                <c:pt idx="2">
                  <c:v>1062</c:v>
                </c:pt>
                <c:pt idx="3">
                  <c:v>1061</c:v>
                </c:pt>
                <c:pt idx="4">
                  <c:v>1060</c:v>
                </c:pt>
                <c:pt idx="5">
                  <c:v>1059</c:v>
                </c:pt>
                <c:pt idx="6">
                  <c:v>1058</c:v>
                </c:pt>
                <c:pt idx="7">
                  <c:v>1057</c:v>
                </c:pt>
                <c:pt idx="8">
                  <c:v>1056</c:v>
                </c:pt>
                <c:pt idx="9">
                  <c:v>1055</c:v>
                </c:pt>
                <c:pt idx="10">
                  <c:v>1054</c:v>
                </c:pt>
                <c:pt idx="11">
                  <c:v>1053</c:v>
                </c:pt>
                <c:pt idx="12">
                  <c:v>1052</c:v>
                </c:pt>
                <c:pt idx="13">
                  <c:v>1051</c:v>
                </c:pt>
                <c:pt idx="14">
                  <c:v>1050</c:v>
                </c:pt>
                <c:pt idx="15">
                  <c:v>1049</c:v>
                </c:pt>
                <c:pt idx="16">
                  <c:v>1048</c:v>
                </c:pt>
                <c:pt idx="17">
                  <c:v>1047</c:v>
                </c:pt>
                <c:pt idx="18">
                  <c:v>1046</c:v>
                </c:pt>
                <c:pt idx="19">
                  <c:v>1045</c:v>
                </c:pt>
                <c:pt idx="20">
                  <c:v>1044</c:v>
                </c:pt>
                <c:pt idx="21">
                  <c:v>1043</c:v>
                </c:pt>
                <c:pt idx="22">
                  <c:v>1042</c:v>
                </c:pt>
                <c:pt idx="23">
                  <c:v>1041</c:v>
                </c:pt>
                <c:pt idx="24">
                  <c:v>1040</c:v>
                </c:pt>
                <c:pt idx="25">
                  <c:v>1039</c:v>
                </c:pt>
                <c:pt idx="26">
                  <c:v>1038</c:v>
                </c:pt>
                <c:pt idx="27">
                  <c:v>1037</c:v>
                </c:pt>
                <c:pt idx="28">
                  <c:v>1036</c:v>
                </c:pt>
              </c:numCache>
            </c:numRef>
          </c:val>
          <c:extLst>
            <c:ext xmlns:c16="http://schemas.microsoft.com/office/drawing/2014/chart" uri="{C3380CC4-5D6E-409C-BE32-E72D297353CC}">
              <c16:uniqueId val="{00000001-73A5-4CA1-BCCE-0CBCDA07C38B}"/>
            </c:ext>
          </c:extLst>
        </c:ser>
        <c:ser>
          <c:idx val="0"/>
          <c:order val="2"/>
          <c:tx>
            <c:strRef>
              <c:f>Indicators!$D$983</c:f>
              <c:strCache>
                <c:ptCount val="1"/>
                <c:pt idx="0">
                  <c:v>Construction Benchmark</c:v>
                </c:pt>
              </c:strCache>
            </c:strRef>
          </c:tx>
          <c:spPr>
            <a:solidFill>
              <a:srgbClr val="C00000">
                <a:alpha val="50000"/>
              </a:srgbClr>
            </a:solidFill>
            <a:ln w="25400">
              <a:noFill/>
            </a:ln>
            <a:effectLst/>
          </c:spP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Indicators!$I$1005:$AK$1005</c:f>
              <c:numCache>
                <c:formatCode>#,##0</c:formatCode>
                <c:ptCount val="29"/>
                <c:pt idx="0">
                  <c:v>100000</c:v>
                </c:pt>
                <c:pt idx="1">
                  <c:v>100000</c:v>
                </c:pt>
                <c:pt idx="2">
                  <c:v>100000</c:v>
                </c:pt>
                <c:pt idx="3">
                  <c:v>100000</c:v>
                </c:pt>
                <c:pt idx="4">
                  <c:v>100000</c:v>
                </c:pt>
                <c:pt idx="5">
                  <c:v>100000</c:v>
                </c:pt>
                <c:pt idx="6">
                  <c:v>100000</c:v>
                </c:pt>
                <c:pt idx="7">
                  <c:v>100000</c:v>
                </c:pt>
                <c:pt idx="8">
                  <c:v>100000</c:v>
                </c:pt>
                <c:pt idx="9">
                  <c:v>100000</c:v>
                </c:pt>
                <c:pt idx="10">
                  <c:v>100000</c:v>
                </c:pt>
                <c:pt idx="11">
                  <c:v>100000</c:v>
                </c:pt>
                <c:pt idx="12">
                  <c:v>100000</c:v>
                </c:pt>
                <c:pt idx="13">
                  <c:v>100000</c:v>
                </c:pt>
                <c:pt idx="14">
                  <c:v>100000</c:v>
                </c:pt>
                <c:pt idx="15">
                  <c:v>100000</c:v>
                </c:pt>
                <c:pt idx="16">
                  <c:v>100000</c:v>
                </c:pt>
                <c:pt idx="17">
                  <c:v>100000</c:v>
                </c:pt>
                <c:pt idx="18">
                  <c:v>100000</c:v>
                </c:pt>
                <c:pt idx="19">
                  <c:v>100000</c:v>
                </c:pt>
                <c:pt idx="20">
                  <c:v>100000</c:v>
                </c:pt>
                <c:pt idx="21">
                  <c:v>100000</c:v>
                </c:pt>
                <c:pt idx="22">
                  <c:v>100000</c:v>
                </c:pt>
                <c:pt idx="23">
                  <c:v>100000</c:v>
                </c:pt>
                <c:pt idx="24">
                  <c:v>100000</c:v>
                </c:pt>
                <c:pt idx="25">
                  <c:v>100000</c:v>
                </c:pt>
                <c:pt idx="26">
                  <c:v>100000</c:v>
                </c:pt>
                <c:pt idx="27">
                  <c:v>100000</c:v>
                </c:pt>
                <c:pt idx="28">
                  <c:v>100000</c:v>
                </c:pt>
              </c:numCache>
            </c:numRef>
          </c:val>
          <c:extLst>
            <c:ext xmlns:c16="http://schemas.microsoft.com/office/drawing/2014/chart" uri="{C3380CC4-5D6E-409C-BE32-E72D297353CC}">
              <c16:uniqueId val="{00000002-73A5-4CA1-BCCE-0CBCDA07C38B}"/>
            </c:ext>
          </c:extLst>
        </c:ser>
        <c:dLbls>
          <c:showLegendKey val="0"/>
          <c:showVal val="0"/>
          <c:showCatName val="0"/>
          <c:showSerName val="0"/>
          <c:showPercent val="0"/>
          <c:showBubbleSize val="0"/>
        </c:dLbls>
        <c:axId val="820790392"/>
        <c:axId val="820794232"/>
      </c:areaChart>
      <c:barChart>
        <c:barDir val="col"/>
        <c:grouping val="clustered"/>
        <c:varyColors val="0"/>
        <c:ser>
          <c:idx val="5"/>
          <c:order val="5"/>
          <c:tx>
            <c:strRef>
              <c:f>Indicators!$D$988</c:f>
              <c:strCache>
                <c:ptCount val="1"/>
                <c:pt idx="0">
                  <c:v>Actual Summer Average MAWT</c:v>
                </c:pt>
              </c:strCache>
            </c:strRef>
          </c:tx>
          <c:spPr>
            <a:solidFill>
              <a:schemeClr val="accent1"/>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Indicators!$I$1011:$AK$1011</c:f>
              <c:numCache>
                <c:formatCode>#,##0</c:formatCode>
                <c:ptCount val="29"/>
                <c:pt idx="0">
                  <c:v>0</c:v>
                </c:pt>
                <c:pt idx="1">
                  <c:v>0</c:v>
                </c:pt>
                <c:pt idx="2">
                  <c:v>0</c:v>
                </c:pt>
                <c:pt idx="3">
                  <c:v>0</c:v>
                </c:pt>
                <c:pt idx="4">
                  <c:v>0</c:v>
                </c:pt>
                <c:pt idx="5">
                  <c:v>0</c:v>
                </c:pt>
                <c:pt idx="6">
                  <c:v>0</c:v>
                </c:pt>
                <c:pt idx="7">
                  <c:v>13429.300000000017</c:v>
                </c:pt>
                <c:pt idx="8">
                  <c:v>13778</c:v>
                </c:pt>
                <c:pt idx="9">
                  <c:v>13591</c:v>
                </c:pt>
                <c:pt idx="10">
                  <c:v>14059</c:v>
                </c:pt>
                <c:pt idx="11">
                  <c:v>14097.5</c:v>
                </c:pt>
                <c:pt idx="12">
                  <c:v>14575</c:v>
                </c:pt>
                <c:pt idx="13">
                  <c:v>15202.75</c:v>
                </c:pt>
                <c:pt idx="14">
                  <c:v>15152</c:v>
                </c:pt>
                <c:pt idx="15">
                  <c:v>15379.5</c:v>
                </c:pt>
                <c:pt idx="16">
                  <c:v>15551.75</c:v>
                </c:pt>
                <c:pt idx="17">
                  <c:v>15165.75</c:v>
                </c:pt>
                <c:pt idx="18">
                  <c:v>14394</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3-73A5-4CA1-BCCE-0CBCDA07C38B}"/>
            </c:ext>
          </c:extLst>
        </c:ser>
        <c:dLbls>
          <c:showLegendKey val="0"/>
          <c:showVal val="0"/>
          <c:showCatName val="0"/>
          <c:showSerName val="0"/>
          <c:showPercent val="0"/>
          <c:showBubbleSize val="0"/>
        </c:dLbls>
        <c:gapWidth val="150"/>
        <c:axId val="820790392"/>
        <c:axId val="820794232"/>
      </c:barChart>
      <c:lineChart>
        <c:grouping val="standard"/>
        <c:varyColors val="0"/>
        <c:ser>
          <c:idx val="2"/>
          <c:order val="3"/>
          <c:tx>
            <c:strRef>
              <c:f>Indicators!$D$986</c:f>
              <c:strCache>
                <c:ptCount val="1"/>
                <c:pt idx="0">
                  <c:v>Baseline Forecast</c:v>
                </c:pt>
              </c:strCache>
            </c:strRef>
          </c:tx>
          <c:spPr>
            <a:ln w="38100" cap="rnd">
              <a:solidFill>
                <a:schemeClr val="accent5"/>
              </a:solidFill>
              <a:prstDash val="sysDot"/>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Indicators!$I$1009:$AK$1009</c:f>
              <c:numCache>
                <c:formatCode>#,##0</c:formatCode>
                <c:ptCount val="29"/>
                <c:pt idx="7">
                  <c:v>13118.181818181823</c:v>
                </c:pt>
                <c:pt idx="8">
                  <c:v>13363.636363636411</c:v>
                </c:pt>
                <c:pt idx="9">
                  <c:v>13609.090909090941</c:v>
                </c:pt>
                <c:pt idx="10">
                  <c:v>13854.54545454547</c:v>
                </c:pt>
                <c:pt idx="11">
                  <c:v>14100</c:v>
                </c:pt>
                <c:pt idx="12">
                  <c:v>14345.454545454588</c:v>
                </c:pt>
                <c:pt idx="13">
                  <c:v>14590.909090909117</c:v>
                </c:pt>
                <c:pt idx="14">
                  <c:v>14836.363636363647</c:v>
                </c:pt>
                <c:pt idx="15">
                  <c:v>15081.818181818235</c:v>
                </c:pt>
                <c:pt idx="16">
                  <c:v>15327.272727272764</c:v>
                </c:pt>
                <c:pt idx="17">
                  <c:v>15572.727272727294</c:v>
                </c:pt>
                <c:pt idx="18">
                  <c:v>15818.181818181823</c:v>
                </c:pt>
                <c:pt idx="19">
                  <c:v>16063.636363636411</c:v>
                </c:pt>
                <c:pt idx="20">
                  <c:v>16309.090909090941</c:v>
                </c:pt>
                <c:pt idx="21">
                  <c:v>16554.54545454547</c:v>
                </c:pt>
                <c:pt idx="22">
                  <c:v>16800</c:v>
                </c:pt>
                <c:pt idx="23">
                  <c:v>17045.454545454588</c:v>
                </c:pt>
                <c:pt idx="24">
                  <c:v>17290.909090909117</c:v>
                </c:pt>
                <c:pt idx="25">
                  <c:v>17536.363636363647</c:v>
                </c:pt>
                <c:pt idx="26">
                  <c:v>17781.818181818235</c:v>
                </c:pt>
                <c:pt idx="27">
                  <c:v>18027.272727272764</c:v>
                </c:pt>
                <c:pt idx="28">
                  <c:v>18272.727272727294</c:v>
                </c:pt>
              </c:numCache>
            </c:numRef>
          </c:val>
          <c:smooth val="0"/>
          <c:extLst>
            <c:ext xmlns:c16="http://schemas.microsoft.com/office/drawing/2014/chart" uri="{C3380CC4-5D6E-409C-BE32-E72D297353CC}">
              <c16:uniqueId val="{00000004-73A5-4CA1-BCCE-0CBCDA07C38B}"/>
            </c:ext>
          </c:extLst>
        </c:ser>
        <c:ser>
          <c:idx val="4"/>
          <c:order val="4"/>
          <c:tx>
            <c:strRef>
              <c:f>Indicators!$D$987</c:f>
              <c:strCache>
                <c:ptCount val="1"/>
                <c:pt idx="0">
                  <c:v>ITP Scenario</c:v>
                </c:pt>
              </c:strCache>
            </c:strRef>
          </c:tx>
          <c:spPr>
            <a:ln w="25400" cap="rnd">
              <a:solidFill>
                <a:schemeClr val="accent6"/>
              </a:solidFill>
              <a:prstDash val="dash"/>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Indicators!$I$1010:$AK$1010</c:f>
              <c:numCache>
                <c:formatCode>#,##0</c:formatCode>
                <c:ptCount val="29"/>
                <c:pt idx="14">
                  <c:v>14881.818181818177</c:v>
                </c:pt>
                <c:pt idx="15">
                  <c:v>15009.090909090883</c:v>
                </c:pt>
                <c:pt idx="16">
                  <c:v>15136.363636363618</c:v>
                </c:pt>
                <c:pt idx="17">
                  <c:v>15263.636363636353</c:v>
                </c:pt>
                <c:pt idx="18">
                  <c:v>15390.909090909088</c:v>
                </c:pt>
                <c:pt idx="19">
                  <c:v>15518.181818181794</c:v>
                </c:pt>
                <c:pt idx="20">
                  <c:v>15645.45454545453</c:v>
                </c:pt>
                <c:pt idx="21">
                  <c:v>15772.727272727265</c:v>
                </c:pt>
                <c:pt idx="22">
                  <c:v>15900</c:v>
                </c:pt>
                <c:pt idx="23">
                  <c:v>16027.272727272706</c:v>
                </c:pt>
                <c:pt idx="24">
                  <c:v>16154.545454545441</c:v>
                </c:pt>
                <c:pt idx="25">
                  <c:v>16281.818181818177</c:v>
                </c:pt>
                <c:pt idx="26">
                  <c:v>16409.090909090883</c:v>
                </c:pt>
                <c:pt idx="27">
                  <c:v>16536.363636363618</c:v>
                </c:pt>
                <c:pt idx="28">
                  <c:v>16663.636363636353</c:v>
                </c:pt>
              </c:numCache>
            </c:numRef>
          </c:val>
          <c:smooth val="0"/>
          <c:extLst>
            <c:ext xmlns:c16="http://schemas.microsoft.com/office/drawing/2014/chart" uri="{C3380CC4-5D6E-409C-BE32-E72D297353CC}">
              <c16:uniqueId val="{00000005-73A5-4CA1-BCCE-0CBCDA07C38B}"/>
            </c:ext>
          </c:extLst>
        </c:ser>
        <c:dLbls>
          <c:showLegendKey val="0"/>
          <c:showVal val="0"/>
          <c:showCatName val="0"/>
          <c:showSerName val="0"/>
          <c:showPercent val="0"/>
          <c:showBubbleSize val="0"/>
        </c:dLbls>
        <c:marker val="1"/>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max val="22000"/>
          <c:min val="12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 Summer Weekday Vehicles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spPr>
        <a:noFill/>
        <a:ln>
          <a:noFill/>
        </a:ln>
        <a:effectLst/>
      </c:spPr>
    </c:plotArea>
    <c:legend>
      <c:legendPos val="l"/>
      <c:legendEntry>
        <c:idx val="2"/>
        <c:delete val="1"/>
      </c:legendEntry>
      <c:layout>
        <c:manualLayout>
          <c:xMode val="edge"/>
          <c:yMode val="edge"/>
          <c:x val="2.7017419125488801E-2"/>
          <c:y val="0.26864255527381109"/>
          <c:w val="7.969451916626312E-2"/>
          <c:h val="0.381358601361270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Capital Project Group 3 (North 89) </a:t>
            </a:r>
          </a:p>
          <a:p>
            <a:pPr>
              <a:defRPr/>
            </a:pPr>
            <a:r>
              <a:rPr lang="en-US"/>
              <a:t>Benchmark</a:t>
            </a:r>
          </a:p>
        </c:rich>
      </c:tx>
      <c:layout>
        <c:manualLayout>
          <c:xMode val="edge"/>
          <c:yMode val="edge"/>
          <c:x val="1.7676274290811412E-2"/>
          <c:y val="6.3276836158192087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77535682195434"/>
          <c:y val="5.0925925925925923E-2"/>
          <c:w val="0.82422416358993167"/>
          <c:h val="0.8416746864975212"/>
        </c:manualLayout>
      </c:layout>
      <c:areaChart>
        <c:grouping val="stacked"/>
        <c:varyColors val="0"/>
        <c:ser>
          <c:idx val="3"/>
          <c:order val="0"/>
          <c:tx>
            <c:v>Below 1st Bench</c:v>
          </c:tx>
          <c:spPr>
            <a:noFill/>
            <a:ln w="25400">
              <a:noFill/>
            </a:ln>
            <a:effectLst/>
          </c:spP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Indicators!$I$1031:$AK$1031</c:f>
              <c:numCache>
                <c:formatCode>#,##0</c:formatCode>
                <c:ptCount val="29"/>
                <c:pt idx="0">
                  <c:v>17200</c:v>
                </c:pt>
                <c:pt idx="1">
                  <c:v>17200</c:v>
                </c:pt>
                <c:pt idx="2">
                  <c:v>17200</c:v>
                </c:pt>
                <c:pt idx="3">
                  <c:v>17200</c:v>
                </c:pt>
                <c:pt idx="4">
                  <c:v>17200</c:v>
                </c:pt>
                <c:pt idx="5">
                  <c:v>17200</c:v>
                </c:pt>
                <c:pt idx="6">
                  <c:v>17200</c:v>
                </c:pt>
                <c:pt idx="7">
                  <c:v>17200</c:v>
                </c:pt>
                <c:pt idx="8">
                  <c:v>17200</c:v>
                </c:pt>
                <c:pt idx="9">
                  <c:v>17200</c:v>
                </c:pt>
                <c:pt idx="10">
                  <c:v>17200</c:v>
                </c:pt>
                <c:pt idx="11">
                  <c:v>17200</c:v>
                </c:pt>
                <c:pt idx="12">
                  <c:v>17200</c:v>
                </c:pt>
                <c:pt idx="13">
                  <c:v>17200</c:v>
                </c:pt>
                <c:pt idx="14">
                  <c:v>17200</c:v>
                </c:pt>
                <c:pt idx="15">
                  <c:v>17200</c:v>
                </c:pt>
                <c:pt idx="16">
                  <c:v>17200</c:v>
                </c:pt>
                <c:pt idx="17">
                  <c:v>17200</c:v>
                </c:pt>
                <c:pt idx="18">
                  <c:v>17200</c:v>
                </c:pt>
                <c:pt idx="19">
                  <c:v>17200</c:v>
                </c:pt>
                <c:pt idx="20">
                  <c:v>17200</c:v>
                </c:pt>
                <c:pt idx="21">
                  <c:v>17200</c:v>
                </c:pt>
                <c:pt idx="22">
                  <c:v>17200</c:v>
                </c:pt>
                <c:pt idx="23">
                  <c:v>17200</c:v>
                </c:pt>
                <c:pt idx="24">
                  <c:v>17200</c:v>
                </c:pt>
                <c:pt idx="25">
                  <c:v>17200</c:v>
                </c:pt>
                <c:pt idx="26">
                  <c:v>17200</c:v>
                </c:pt>
                <c:pt idx="27">
                  <c:v>17200</c:v>
                </c:pt>
                <c:pt idx="28">
                  <c:v>17200</c:v>
                </c:pt>
              </c:numCache>
            </c:numRef>
          </c:val>
          <c:extLst>
            <c:ext xmlns:c16="http://schemas.microsoft.com/office/drawing/2014/chart" uri="{C3380CC4-5D6E-409C-BE32-E72D297353CC}">
              <c16:uniqueId val="{00000000-9D2C-4807-8510-480A1FBCA9AD}"/>
            </c:ext>
          </c:extLst>
        </c:ser>
        <c:ser>
          <c:idx val="1"/>
          <c:order val="1"/>
          <c:tx>
            <c:strRef>
              <c:f>Indicators!$D$1031</c:f>
              <c:strCache>
                <c:ptCount val="1"/>
                <c:pt idx="0">
                  <c:v>NEPA/PEL Benchmark</c:v>
                </c:pt>
              </c:strCache>
            </c:strRef>
          </c:tx>
          <c:spPr>
            <a:solidFill>
              <a:schemeClr val="accent2">
                <a:alpha val="50000"/>
              </a:schemeClr>
            </a:solidFill>
            <a:ln w="25400">
              <a:noFill/>
            </a:ln>
            <a:effectLst/>
          </c:spP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Indicators!$I$1030:$AK$1030</c:f>
              <c:numCache>
                <c:formatCode>#,##0</c:formatCode>
                <c:ptCount val="29"/>
                <c:pt idx="0">
                  <c:v>2800</c:v>
                </c:pt>
                <c:pt idx="1">
                  <c:v>2800</c:v>
                </c:pt>
                <c:pt idx="2">
                  <c:v>2800</c:v>
                </c:pt>
                <c:pt idx="3">
                  <c:v>2800</c:v>
                </c:pt>
                <c:pt idx="4">
                  <c:v>2800</c:v>
                </c:pt>
                <c:pt idx="5">
                  <c:v>2800</c:v>
                </c:pt>
                <c:pt idx="6">
                  <c:v>2800</c:v>
                </c:pt>
                <c:pt idx="7">
                  <c:v>2800</c:v>
                </c:pt>
                <c:pt idx="8">
                  <c:v>2800</c:v>
                </c:pt>
                <c:pt idx="9">
                  <c:v>2800</c:v>
                </c:pt>
                <c:pt idx="10">
                  <c:v>2800</c:v>
                </c:pt>
                <c:pt idx="11">
                  <c:v>2800</c:v>
                </c:pt>
                <c:pt idx="12">
                  <c:v>2800</c:v>
                </c:pt>
                <c:pt idx="13">
                  <c:v>2800</c:v>
                </c:pt>
                <c:pt idx="14">
                  <c:v>2800</c:v>
                </c:pt>
                <c:pt idx="15">
                  <c:v>2800</c:v>
                </c:pt>
                <c:pt idx="16">
                  <c:v>2800</c:v>
                </c:pt>
                <c:pt idx="17">
                  <c:v>2800</c:v>
                </c:pt>
                <c:pt idx="18">
                  <c:v>2800</c:v>
                </c:pt>
                <c:pt idx="19">
                  <c:v>2800</c:v>
                </c:pt>
                <c:pt idx="20">
                  <c:v>2800</c:v>
                </c:pt>
                <c:pt idx="21">
                  <c:v>2800</c:v>
                </c:pt>
                <c:pt idx="22">
                  <c:v>2800</c:v>
                </c:pt>
                <c:pt idx="23">
                  <c:v>2800</c:v>
                </c:pt>
                <c:pt idx="24">
                  <c:v>2800</c:v>
                </c:pt>
                <c:pt idx="25">
                  <c:v>2800</c:v>
                </c:pt>
                <c:pt idx="26">
                  <c:v>2800</c:v>
                </c:pt>
                <c:pt idx="27">
                  <c:v>2800</c:v>
                </c:pt>
                <c:pt idx="28">
                  <c:v>2800</c:v>
                </c:pt>
              </c:numCache>
            </c:numRef>
          </c:val>
          <c:extLst>
            <c:ext xmlns:c16="http://schemas.microsoft.com/office/drawing/2014/chart" uri="{C3380CC4-5D6E-409C-BE32-E72D297353CC}">
              <c16:uniqueId val="{00000001-9D2C-4807-8510-480A1FBCA9AD}"/>
            </c:ext>
          </c:extLst>
        </c:ser>
        <c:ser>
          <c:idx val="0"/>
          <c:order val="2"/>
          <c:tx>
            <c:strRef>
              <c:f>Indicators!$D$1029</c:f>
              <c:strCache>
                <c:ptCount val="1"/>
                <c:pt idx="0">
                  <c:v>Construction Benchmark</c:v>
                </c:pt>
              </c:strCache>
            </c:strRef>
          </c:tx>
          <c:spPr>
            <a:solidFill>
              <a:srgbClr val="C00000">
                <a:alpha val="50000"/>
              </a:srgbClr>
            </a:solidFill>
            <a:ln w="25400">
              <a:noFill/>
            </a:ln>
            <a:effectLst/>
          </c:spP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Indicators!$I$1028:$AK$1028</c:f>
              <c:numCache>
                <c:formatCode>#,##0</c:formatCode>
                <c:ptCount val="29"/>
                <c:pt idx="0">
                  <c:v>100000</c:v>
                </c:pt>
                <c:pt idx="1">
                  <c:v>100000</c:v>
                </c:pt>
                <c:pt idx="2">
                  <c:v>100000</c:v>
                </c:pt>
                <c:pt idx="3">
                  <c:v>100000</c:v>
                </c:pt>
                <c:pt idx="4">
                  <c:v>100000</c:v>
                </c:pt>
                <c:pt idx="5">
                  <c:v>100000</c:v>
                </c:pt>
                <c:pt idx="6">
                  <c:v>100000</c:v>
                </c:pt>
                <c:pt idx="7">
                  <c:v>100000</c:v>
                </c:pt>
                <c:pt idx="8">
                  <c:v>100000</c:v>
                </c:pt>
                <c:pt idx="9">
                  <c:v>100000</c:v>
                </c:pt>
                <c:pt idx="10">
                  <c:v>100000</c:v>
                </c:pt>
                <c:pt idx="11">
                  <c:v>100000</c:v>
                </c:pt>
                <c:pt idx="12">
                  <c:v>100000</c:v>
                </c:pt>
                <c:pt idx="13">
                  <c:v>100000</c:v>
                </c:pt>
                <c:pt idx="14">
                  <c:v>100000</c:v>
                </c:pt>
                <c:pt idx="15">
                  <c:v>100000</c:v>
                </c:pt>
                <c:pt idx="16">
                  <c:v>100000</c:v>
                </c:pt>
                <c:pt idx="17">
                  <c:v>100000</c:v>
                </c:pt>
                <c:pt idx="18">
                  <c:v>100000</c:v>
                </c:pt>
                <c:pt idx="19">
                  <c:v>100000</c:v>
                </c:pt>
                <c:pt idx="20">
                  <c:v>100000</c:v>
                </c:pt>
                <c:pt idx="21">
                  <c:v>100000</c:v>
                </c:pt>
                <c:pt idx="22">
                  <c:v>100000</c:v>
                </c:pt>
                <c:pt idx="23">
                  <c:v>100000</c:v>
                </c:pt>
                <c:pt idx="24">
                  <c:v>100000</c:v>
                </c:pt>
                <c:pt idx="25">
                  <c:v>100000</c:v>
                </c:pt>
                <c:pt idx="26">
                  <c:v>100000</c:v>
                </c:pt>
                <c:pt idx="27">
                  <c:v>100000</c:v>
                </c:pt>
                <c:pt idx="28">
                  <c:v>100000</c:v>
                </c:pt>
              </c:numCache>
            </c:numRef>
          </c:val>
          <c:extLst>
            <c:ext xmlns:c16="http://schemas.microsoft.com/office/drawing/2014/chart" uri="{C3380CC4-5D6E-409C-BE32-E72D297353CC}">
              <c16:uniqueId val="{00000002-9D2C-4807-8510-480A1FBCA9AD}"/>
            </c:ext>
          </c:extLst>
        </c:ser>
        <c:dLbls>
          <c:showLegendKey val="0"/>
          <c:showVal val="0"/>
          <c:showCatName val="0"/>
          <c:showSerName val="0"/>
          <c:showPercent val="0"/>
          <c:showBubbleSize val="0"/>
        </c:dLbls>
        <c:axId val="820790392"/>
        <c:axId val="820794232"/>
      </c:areaChart>
      <c:barChart>
        <c:barDir val="col"/>
        <c:grouping val="clustered"/>
        <c:varyColors val="0"/>
        <c:ser>
          <c:idx val="5"/>
          <c:order val="5"/>
          <c:tx>
            <c:strRef>
              <c:f>Indicators!$D$1034</c:f>
              <c:strCache>
                <c:ptCount val="1"/>
                <c:pt idx="0">
                  <c:v>Actual Summer Average MAWT</c:v>
                </c:pt>
              </c:strCache>
            </c:strRef>
          </c:tx>
          <c:spPr>
            <a:solidFill>
              <a:schemeClr val="accent1"/>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Indicators!$I$1034:$AK$1034</c:f>
              <c:numCache>
                <c:formatCode>#,##0</c:formatCode>
                <c:ptCount val="29"/>
                <c:pt idx="0">
                  <c:v>0</c:v>
                </c:pt>
                <c:pt idx="1">
                  <c:v>0</c:v>
                </c:pt>
                <c:pt idx="2">
                  <c:v>0</c:v>
                </c:pt>
                <c:pt idx="3">
                  <c:v>0</c:v>
                </c:pt>
                <c:pt idx="4">
                  <c:v>0</c:v>
                </c:pt>
                <c:pt idx="5">
                  <c:v>0</c:v>
                </c:pt>
                <c:pt idx="6">
                  <c:v>0</c:v>
                </c:pt>
                <c:pt idx="7">
                  <c:v>11266.642857142884</c:v>
                </c:pt>
                <c:pt idx="8">
                  <c:v>11597.553571428594</c:v>
                </c:pt>
                <c:pt idx="9">
                  <c:v>11928.464285714319</c:v>
                </c:pt>
                <c:pt idx="10">
                  <c:v>12439.75</c:v>
                </c:pt>
                <c:pt idx="11">
                  <c:v>12159.25</c:v>
                </c:pt>
                <c:pt idx="12">
                  <c:v>12770</c:v>
                </c:pt>
                <c:pt idx="13">
                  <c:v>13095.25</c:v>
                </c:pt>
                <c:pt idx="14">
                  <c:v>14009.25</c:v>
                </c:pt>
                <c:pt idx="15">
                  <c:v>14492.25</c:v>
                </c:pt>
                <c:pt idx="16">
                  <c:v>14516.5</c:v>
                </c:pt>
                <c:pt idx="17">
                  <c:v>13858.25</c:v>
                </c:pt>
                <c:pt idx="18">
                  <c:v>13269.5</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3-9D2C-4807-8510-480A1FBCA9AD}"/>
            </c:ext>
          </c:extLst>
        </c:ser>
        <c:dLbls>
          <c:showLegendKey val="0"/>
          <c:showVal val="0"/>
          <c:showCatName val="0"/>
          <c:showSerName val="0"/>
          <c:showPercent val="0"/>
          <c:showBubbleSize val="0"/>
        </c:dLbls>
        <c:gapWidth val="150"/>
        <c:axId val="820790392"/>
        <c:axId val="820794232"/>
      </c:barChart>
      <c:lineChart>
        <c:grouping val="standard"/>
        <c:varyColors val="0"/>
        <c:ser>
          <c:idx val="2"/>
          <c:order val="3"/>
          <c:tx>
            <c:strRef>
              <c:f>Indicators!$D$1032</c:f>
              <c:strCache>
                <c:ptCount val="1"/>
                <c:pt idx="0">
                  <c:v>Baseline Forecast</c:v>
                </c:pt>
              </c:strCache>
            </c:strRef>
          </c:tx>
          <c:spPr>
            <a:ln w="38100" cap="rnd">
              <a:solidFill>
                <a:schemeClr val="accent5"/>
              </a:solidFill>
              <a:prstDash val="sysDot"/>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Indicators!$I$1032:$AK$1032</c:f>
              <c:numCache>
                <c:formatCode>#,##0</c:formatCode>
                <c:ptCount val="29"/>
                <c:pt idx="7">
                  <c:v>11545.45454545453</c:v>
                </c:pt>
                <c:pt idx="8">
                  <c:v>11709.090909090883</c:v>
                </c:pt>
                <c:pt idx="9">
                  <c:v>11872.727272727236</c:v>
                </c:pt>
                <c:pt idx="10">
                  <c:v>12036.363636363589</c:v>
                </c:pt>
                <c:pt idx="11">
                  <c:v>12200</c:v>
                </c:pt>
                <c:pt idx="12">
                  <c:v>12363.636363636353</c:v>
                </c:pt>
                <c:pt idx="13">
                  <c:v>12527.272727272706</c:v>
                </c:pt>
                <c:pt idx="14">
                  <c:v>12690.909090909059</c:v>
                </c:pt>
                <c:pt idx="15">
                  <c:v>12854.545454545412</c:v>
                </c:pt>
                <c:pt idx="16">
                  <c:v>13018.181818181823</c:v>
                </c:pt>
                <c:pt idx="17">
                  <c:v>13181.818181818177</c:v>
                </c:pt>
                <c:pt idx="18">
                  <c:v>13345.45454545453</c:v>
                </c:pt>
                <c:pt idx="19">
                  <c:v>13509.090909090883</c:v>
                </c:pt>
                <c:pt idx="20">
                  <c:v>13672.727272727236</c:v>
                </c:pt>
                <c:pt idx="21">
                  <c:v>13836.363636363589</c:v>
                </c:pt>
                <c:pt idx="22">
                  <c:v>14000</c:v>
                </c:pt>
                <c:pt idx="23">
                  <c:v>14163.636363636353</c:v>
                </c:pt>
                <c:pt idx="24">
                  <c:v>14327.272727272706</c:v>
                </c:pt>
                <c:pt idx="25">
                  <c:v>14490.909090909059</c:v>
                </c:pt>
                <c:pt idx="26">
                  <c:v>14654.545454545412</c:v>
                </c:pt>
                <c:pt idx="27">
                  <c:v>14818.181818181823</c:v>
                </c:pt>
                <c:pt idx="28">
                  <c:v>14981.818181818177</c:v>
                </c:pt>
              </c:numCache>
            </c:numRef>
          </c:val>
          <c:smooth val="0"/>
          <c:extLst>
            <c:ext xmlns:c16="http://schemas.microsoft.com/office/drawing/2014/chart" uri="{C3380CC4-5D6E-409C-BE32-E72D297353CC}">
              <c16:uniqueId val="{00000004-9D2C-4807-8510-480A1FBCA9AD}"/>
            </c:ext>
          </c:extLst>
        </c:ser>
        <c:ser>
          <c:idx val="4"/>
          <c:order val="4"/>
          <c:tx>
            <c:strRef>
              <c:f>Indicators!$D$1033</c:f>
              <c:strCache>
                <c:ptCount val="1"/>
                <c:pt idx="0">
                  <c:v>ITP Scenario</c:v>
                </c:pt>
              </c:strCache>
            </c:strRef>
          </c:tx>
          <c:spPr>
            <a:ln w="25400" cap="rnd">
              <a:solidFill>
                <a:schemeClr val="accent6"/>
              </a:solidFill>
              <a:prstDash val="dash"/>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Indicators!$I$1033:$AK$1033</c:f>
              <c:numCache>
                <c:formatCode>#,##0</c:formatCode>
                <c:ptCount val="29"/>
                <c:pt idx="14">
                  <c:v>12745.45454545453</c:v>
                </c:pt>
                <c:pt idx="15">
                  <c:v>12827.272727272706</c:v>
                </c:pt>
                <c:pt idx="16">
                  <c:v>12909.090909090912</c:v>
                </c:pt>
                <c:pt idx="17">
                  <c:v>12990.909090909088</c:v>
                </c:pt>
                <c:pt idx="18">
                  <c:v>13072.727272727265</c:v>
                </c:pt>
                <c:pt idx="19">
                  <c:v>13154.545454545441</c:v>
                </c:pt>
                <c:pt idx="20">
                  <c:v>13236.363636363618</c:v>
                </c:pt>
                <c:pt idx="21">
                  <c:v>13318.181818181794</c:v>
                </c:pt>
                <c:pt idx="22">
                  <c:v>13400</c:v>
                </c:pt>
                <c:pt idx="23">
                  <c:v>13481.818181818177</c:v>
                </c:pt>
                <c:pt idx="24">
                  <c:v>13563.636363636353</c:v>
                </c:pt>
                <c:pt idx="25">
                  <c:v>13645.45454545453</c:v>
                </c:pt>
                <c:pt idx="26">
                  <c:v>13727.272727272706</c:v>
                </c:pt>
                <c:pt idx="27">
                  <c:v>13809.090909090912</c:v>
                </c:pt>
                <c:pt idx="28">
                  <c:v>13890.909090909088</c:v>
                </c:pt>
              </c:numCache>
            </c:numRef>
          </c:val>
          <c:smooth val="0"/>
          <c:extLst>
            <c:ext xmlns:c16="http://schemas.microsoft.com/office/drawing/2014/chart" uri="{C3380CC4-5D6E-409C-BE32-E72D297353CC}">
              <c16:uniqueId val="{00000005-9D2C-4807-8510-480A1FBCA9AD}"/>
            </c:ext>
          </c:extLst>
        </c:ser>
        <c:dLbls>
          <c:showLegendKey val="0"/>
          <c:showVal val="0"/>
          <c:showCatName val="0"/>
          <c:showSerName val="0"/>
          <c:showPercent val="0"/>
          <c:showBubbleSize val="0"/>
        </c:dLbls>
        <c:marker val="1"/>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max val="21000"/>
          <c:min val="1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 Summer Weekday Vehicles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spPr>
        <a:noFill/>
        <a:ln>
          <a:noFill/>
        </a:ln>
        <a:effectLst/>
      </c:spPr>
    </c:plotArea>
    <c:legend>
      <c:legendPos val="l"/>
      <c:legendEntry>
        <c:idx val="2"/>
        <c:delete val="1"/>
      </c:legendEntry>
      <c:layout>
        <c:manualLayout>
          <c:xMode val="edge"/>
          <c:yMode val="edge"/>
          <c:x val="3.1283327408460716E-2"/>
          <c:y val="0.29576119934160766"/>
          <c:w val="7.243534657705647E-2"/>
          <c:h val="0.381358601361270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Greenhouse Gas Emissions</a:t>
            </a:r>
          </a:p>
        </c:rich>
      </c:tx>
      <c:layout>
        <c:manualLayout>
          <c:xMode val="edge"/>
          <c:yMode val="edge"/>
          <c:x val="2.9746220037616899E-2"/>
          <c:y val="3.2295271049596307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257335342775494"/>
          <c:y val="5.0925925925925923E-2"/>
          <c:w val="0.8177224656928459"/>
          <c:h val="0.8416746864975212"/>
        </c:manualLayout>
      </c:layout>
      <c:barChart>
        <c:barDir val="col"/>
        <c:grouping val="stacked"/>
        <c:varyColors val="0"/>
        <c:ser>
          <c:idx val="1"/>
          <c:order val="0"/>
          <c:tx>
            <c:strRef>
              <c:f>Indicators!$C$138</c:f>
              <c:strCache>
                <c:ptCount val="1"/>
                <c:pt idx="0">
                  <c:v>Electricity Emissions Estimate</c:v>
                </c:pt>
              </c:strCache>
            </c:strRef>
          </c:tx>
          <c:spPr>
            <a:solidFill>
              <a:schemeClr val="accent2"/>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Indicators!$I$138:$AK$138</c:f>
              <c:numCache>
                <c:formatCode>#,##0</c:formatCode>
                <c:ptCount val="29"/>
                <c:pt idx="6">
                  <c:v>21896</c:v>
                </c:pt>
                <c:pt idx="7">
                  <c:v>20760.282625047468</c:v>
                </c:pt>
                <c:pt idx="8">
                  <c:v>19794.390979550608</c:v>
                </c:pt>
                <c:pt idx="9">
                  <c:v>18916.609184568282</c:v>
                </c:pt>
                <c:pt idx="10">
                  <c:v>17193.305511061051</c:v>
                </c:pt>
                <c:pt idx="11">
                  <c:v>17414.077820857867</c:v>
                </c:pt>
                <c:pt idx="12">
                  <c:v>15617.019915185258</c:v>
                </c:pt>
                <c:pt idx="13">
                  <c:v>13994.371106411823</c:v>
                </c:pt>
                <c:pt idx="14">
                  <c:v>13629.57784419016</c:v>
                </c:pt>
                <c:pt idx="15">
                  <c:v>12992.835756729986</c:v>
                </c:pt>
                <c:pt idx="16">
                  <c:v>10673</c:v>
                </c:pt>
                <c:pt idx="17">
                  <c:v>8893.7033944564482</c:v>
                </c:pt>
                <c:pt idx="18">
                  <c:v>7940.978608724372</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6D5D-4E5D-ACA2-43499D46668A}"/>
            </c:ext>
          </c:extLst>
        </c:ser>
        <c:ser>
          <c:idx val="0"/>
          <c:order val="1"/>
          <c:tx>
            <c:strRef>
              <c:f>Indicators!$C$143</c:f>
              <c:strCache>
                <c:ptCount val="1"/>
                <c:pt idx="0">
                  <c:v>Gas Emissions Estimate</c:v>
                </c:pt>
              </c:strCache>
            </c:strRef>
          </c:tx>
          <c:spPr>
            <a:solidFill>
              <a:schemeClr val="accent4"/>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Indicators!$I$143:$AK$143</c:f>
              <c:numCache>
                <c:formatCode>#,##0</c:formatCode>
                <c:ptCount val="29"/>
                <c:pt idx="6">
                  <c:v>48463.999999999993</c:v>
                </c:pt>
                <c:pt idx="7">
                  <c:v>47075.785941348804</c:v>
                </c:pt>
                <c:pt idx="8">
                  <c:v>51029.41814646266</c:v>
                </c:pt>
                <c:pt idx="9">
                  <c:v>48836.233295003069</c:v>
                </c:pt>
                <c:pt idx="10">
                  <c:v>46189.353904531679</c:v>
                </c:pt>
                <c:pt idx="11">
                  <c:v>50494.679689349767</c:v>
                </c:pt>
                <c:pt idx="12">
                  <c:v>50715.343057129845</c:v>
                </c:pt>
                <c:pt idx="13">
                  <c:v>60361.616886203403</c:v>
                </c:pt>
                <c:pt idx="14">
                  <c:v>66497.488170975106</c:v>
                </c:pt>
                <c:pt idx="15">
                  <c:v>70299.215655304419</c:v>
                </c:pt>
                <c:pt idx="16">
                  <c:v>71115</c:v>
                </c:pt>
                <c:pt idx="17">
                  <c:v>76051.501300657037</c:v>
                </c:pt>
                <c:pt idx="18">
                  <c:v>72622.931891997199</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1-6D5D-4E5D-ACA2-43499D46668A}"/>
            </c:ext>
          </c:extLst>
        </c:ser>
        <c:ser>
          <c:idx val="2"/>
          <c:order val="2"/>
          <c:tx>
            <c:strRef>
              <c:f>Indicators!$C$148</c:f>
              <c:strCache>
                <c:ptCount val="1"/>
                <c:pt idx="0">
                  <c:v>Surface Transportation Emissions Estimate</c:v>
                </c:pt>
              </c:strCache>
            </c:strRef>
          </c:tx>
          <c:spPr>
            <a:solidFill>
              <a:schemeClr val="accent6"/>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Indicators!$I$148:$AK$148</c:f>
              <c:numCache>
                <c:formatCode>#,##0</c:formatCode>
                <c:ptCount val="29"/>
                <c:pt idx="6">
                  <c:v>254638</c:v>
                </c:pt>
                <c:pt idx="7">
                  <c:v>277863.56755864667</c:v>
                </c:pt>
                <c:pt idx="8">
                  <c:v>273415.75259788206</c:v>
                </c:pt>
                <c:pt idx="9">
                  <c:v>260349.9060783656</c:v>
                </c:pt>
                <c:pt idx="10">
                  <c:v>255426.18072038129</c:v>
                </c:pt>
                <c:pt idx="11">
                  <c:v>250978.77392450644</c:v>
                </c:pt>
                <c:pt idx="12">
                  <c:v>255373.56190166582</c:v>
                </c:pt>
                <c:pt idx="13">
                  <c:v>265635.05288536509</c:v>
                </c:pt>
                <c:pt idx="14">
                  <c:v>265677.6734354801</c:v>
                </c:pt>
                <c:pt idx="15">
                  <c:v>297402.34173040756</c:v>
                </c:pt>
                <c:pt idx="16">
                  <c:v>308207</c:v>
                </c:pt>
                <c:pt idx="17">
                  <c:v>299955.37210755498</c:v>
                </c:pt>
                <c:pt idx="18">
                  <c:v>310948.45731134136</c:v>
                </c:pt>
                <c:pt idx="19">
                  <c:v>169785.21960037336</c:v>
                </c:pt>
                <c:pt idx="20">
                  <c:v>167897.00069497709</c:v>
                </c:pt>
                <c:pt idx="21">
                  <c:v>166008.7817895808</c:v>
                </c:pt>
                <c:pt idx="22">
                  <c:v>164120.56288418453</c:v>
                </c:pt>
                <c:pt idx="23">
                  <c:v>162232.34397878827</c:v>
                </c:pt>
                <c:pt idx="24">
                  <c:v>160344.125073392</c:v>
                </c:pt>
                <c:pt idx="25">
                  <c:v>158455.90616799574</c:v>
                </c:pt>
                <c:pt idx="26">
                  <c:v>156567.68726259944</c:v>
                </c:pt>
                <c:pt idx="27">
                  <c:v>154679.46835720318</c:v>
                </c:pt>
                <c:pt idx="28">
                  <c:v>152791.24945180691</c:v>
                </c:pt>
              </c:numCache>
            </c:numRef>
          </c:val>
          <c:extLst>
            <c:ext xmlns:c16="http://schemas.microsoft.com/office/drawing/2014/chart" uri="{C3380CC4-5D6E-409C-BE32-E72D297353CC}">
              <c16:uniqueId val="{00000002-6D5D-4E5D-ACA2-43499D46668A}"/>
            </c:ext>
          </c:extLst>
        </c:ser>
        <c:ser>
          <c:idx val="3"/>
          <c:order val="3"/>
          <c:tx>
            <c:strRef>
              <c:f>Indicators!$C$160</c:f>
              <c:strCache>
                <c:ptCount val="1"/>
                <c:pt idx="0">
                  <c:v>Air Travel Emissions Estimate</c:v>
                </c:pt>
              </c:strCache>
            </c:strRef>
          </c:tx>
          <c:spPr>
            <a:solidFill>
              <a:schemeClr val="accent5"/>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Indicators!$I$160:$AK$160</c:f>
              <c:numCache>
                <c:formatCode>#,##0</c:formatCode>
                <c:ptCount val="29"/>
                <c:pt idx="6">
                  <c:v>70546</c:v>
                </c:pt>
                <c:pt idx="7">
                  <c:v>65264.47092272681</c:v>
                </c:pt>
                <c:pt idx="8">
                  <c:v>65853.460091159184</c:v>
                </c:pt>
                <c:pt idx="9">
                  <c:v>63494.012838279865</c:v>
                </c:pt>
                <c:pt idx="10">
                  <c:v>61378.766106358169</c:v>
                </c:pt>
                <c:pt idx="11">
                  <c:v>65135.652096991413</c:v>
                </c:pt>
                <c:pt idx="12">
                  <c:v>68487.239847891513</c:v>
                </c:pt>
                <c:pt idx="13">
                  <c:v>68774.477656951814</c:v>
                </c:pt>
                <c:pt idx="14">
                  <c:v>75862.146902429871</c:v>
                </c:pt>
                <c:pt idx="15">
                  <c:v>75911.897601890698</c:v>
                </c:pt>
                <c:pt idx="16">
                  <c:v>83466</c:v>
                </c:pt>
                <c:pt idx="17">
                  <c:v>96369.891250047003</c:v>
                </c:pt>
                <c:pt idx="18">
                  <c:v>59922.6710681818</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3-6D5D-4E5D-ACA2-43499D46668A}"/>
            </c:ext>
          </c:extLst>
        </c:ser>
        <c:ser>
          <c:idx val="4"/>
          <c:order val="4"/>
          <c:tx>
            <c:strRef>
              <c:f>Indicators!$C$165</c:f>
              <c:strCache>
                <c:ptCount val="1"/>
                <c:pt idx="0">
                  <c:v>Other Emissions Estimate</c:v>
                </c:pt>
              </c:strCache>
            </c:strRef>
          </c:tx>
          <c:spPr>
            <a:solidFill>
              <a:srgbClr val="9999FF"/>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Indicators!$I$165:$AK$165</c:f>
              <c:numCache>
                <c:formatCode>#,##0</c:formatCode>
                <c:ptCount val="29"/>
                <c:pt idx="6">
                  <c:v>9313.0054428981475</c:v>
                </c:pt>
                <c:pt idx="7">
                  <c:v>9676.0688210961525</c:v>
                </c:pt>
                <c:pt idx="8">
                  <c:v>9655.5592911487747</c:v>
                </c:pt>
                <c:pt idx="9">
                  <c:v>9220.0684887250336</c:v>
                </c:pt>
                <c:pt idx="10">
                  <c:v>8951.4421815455607</c:v>
                </c:pt>
                <c:pt idx="11">
                  <c:v>9041.7500921006213</c:v>
                </c:pt>
                <c:pt idx="12">
                  <c:v>9187.0210819439853</c:v>
                </c:pt>
                <c:pt idx="13">
                  <c:v>9624.3034883221753</c:v>
                </c:pt>
                <c:pt idx="14">
                  <c:v>9928.0636482821246</c:v>
                </c:pt>
                <c:pt idx="15">
                  <c:v>10750.705031459218</c:v>
                </c:pt>
                <c:pt idx="16">
                  <c:v>11147.54583560868</c:v>
                </c:pt>
                <c:pt idx="17">
                  <c:v>11331.41822017545</c:v>
                </c:pt>
                <c:pt idx="18">
                  <c:v>10628.948926558503</c:v>
                </c:pt>
                <c:pt idx="19">
                  <c:v>3997.5594984677668</c:v>
                </c:pt>
                <c:pt idx="20">
                  <c:v>3953.101756867999</c:v>
                </c:pt>
                <c:pt idx="21">
                  <c:v>3908.6440152682303</c:v>
                </c:pt>
                <c:pt idx="22">
                  <c:v>3864.1862736684625</c:v>
                </c:pt>
                <c:pt idx="23">
                  <c:v>3819.7285320686942</c:v>
                </c:pt>
                <c:pt idx="24">
                  <c:v>3775.2707904689264</c:v>
                </c:pt>
                <c:pt idx="25">
                  <c:v>3730.8130488691586</c:v>
                </c:pt>
                <c:pt idx="26">
                  <c:v>3686.3553072693899</c:v>
                </c:pt>
                <c:pt idx="27">
                  <c:v>3641.8975656696221</c:v>
                </c:pt>
                <c:pt idx="28">
                  <c:v>3597.4398240698542</c:v>
                </c:pt>
              </c:numCache>
            </c:numRef>
          </c:val>
          <c:extLst>
            <c:ext xmlns:c16="http://schemas.microsoft.com/office/drawing/2014/chart" uri="{C3380CC4-5D6E-409C-BE32-E72D297353CC}">
              <c16:uniqueId val="{00000004-6D5D-4E5D-ACA2-43499D46668A}"/>
            </c:ext>
          </c:extLst>
        </c:ser>
        <c:dLbls>
          <c:showLegendKey val="0"/>
          <c:showVal val="0"/>
          <c:showCatName val="0"/>
          <c:showSerName val="0"/>
          <c:showPercent val="0"/>
          <c:showBubbleSize val="0"/>
        </c:dLbls>
        <c:gapWidth val="150"/>
        <c:overlap val="100"/>
        <c:axId val="820790392"/>
        <c:axId val="820794232"/>
      </c:barChart>
      <c:lineChart>
        <c:grouping val="standard"/>
        <c:varyColors val="0"/>
        <c:ser>
          <c:idx val="5"/>
          <c:order val="5"/>
          <c:tx>
            <c:v>Per Capita (Eff Pop) Emissions</c:v>
          </c:tx>
          <c:spPr>
            <a:ln w="19050" cap="rnd">
              <a:solidFill>
                <a:schemeClr val="tx1">
                  <a:lumMod val="50000"/>
                  <a:lumOff val="50000"/>
                </a:schemeClr>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Indicators!$I$170:$AK$170</c:f>
              <c:numCache>
                <c:formatCode>#,##0</c:formatCode>
                <c:ptCount val="29"/>
                <c:pt idx="8">
                  <c:v>805.39019508157901</c:v>
                </c:pt>
                <c:pt idx="9">
                  <c:v>769.06543053132418</c:v>
                </c:pt>
                <c:pt idx="10">
                  <c:v>746.63041983604455</c:v>
                </c:pt>
                <c:pt idx="11">
                  <c:v>754.16201806427523</c:v>
                </c:pt>
                <c:pt idx="12">
                  <c:v>766.24801846178241</c:v>
                </c:pt>
                <c:pt idx="13">
                  <c:v>802.71402238949452</c:v>
                </c:pt>
                <c:pt idx="14">
                  <c:v>828.03689865247031</c:v>
                </c:pt>
                <c:pt idx="15">
                  <c:v>896.64077101789326</c:v>
                </c:pt>
                <c:pt idx="16">
                  <c:v>929.74021393778264</c:v>
                </c:pt>
                <c:pt idx="17">
                  <c:v>945.06816763850577</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B22D-4869-9429-FF32E8D55365}"/>
            </c:ext>
          </c:extLst>
        </c:ser>
        <c:dLbls>
          <c:showLegendKey val="0"/>
          <c:showVal val="0"/>
          <c:showCatName val="0"/>
          <c:showSerName val="0"/>
          <c:showPercent val="0"/>
          <c:showBubbleSize val="0"/>
        </c:dLbls>
        <c:marker val="1"/>
        <c:smooth val="0"/>
        <c:axId val="598598096"/>
        <c:axId val="598597776"/>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Tons CO2 equivalent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valAx>
        <c:axId val="59859777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Tons CO2 equivalent per person (effective 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598096"/>
        <c:crosses val="max"/>
        <c:crossBetween val="between"/>
      </c:valAx>
      <c:catAx>
        <c:axId val="598598096"/>
        <c:scaling>
          <c:orientation val="minMax"/>
        </c:scaling>
        <c:delete val="1"/>
        <c:axPos val="b"/>
        <c:numFmt formatCode="General" sourceLinked="1"/>
        <c:majorTickMark val="out"/>
        <c:minorTickMark val="none"/>
        <c:tickLblPos val="nextTo"/>
        <c:crossAx val="598597776"/>
        <c:crosses val="autoZero"/>
        <c:auto val="1"/>
        <c:lblAlgn val="ctr"/>
        <c:lblOffset val="100"/>
        <c:noMultiLvlLbl val="0"/>
      </c:catAx>
      <c:spPr>
        <a:noFill/>
        <a:ln>
          <a:noFill/>
        </a:ln>
        <a:effectLst/>
      </c:spPr>
    </c:plotArea>
    <c:legend>
      <c:legendPos val="l"/>
      <c:layout>
        <c:manualLayout>
          <c:xMode val="edge"/>
          <c:yMode val="edge"/>
          <c:x val="1.8247548101252942E-2"/>
          <c:y val="0.22503591895303746"/>
          <c:w val="8.9809421030493011E-2"/>
          <c:h val="0.468753280839895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Effective Population</a:t>
            </a:r>
          </a:p>
        </c:rich>
      </c:tx>
      <c:layout>
        <c:manualLayout>
          <c:xMode val="edge"/>
          <c:yMode val="edge"/>
          <c:x val="3.6635866659575474E-2"/>
          <c:y val="5.4054054054054057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93322901825326"/>
          <c:y val="5.0925925925925923E-2"/>
          <c:w val="0.82390218641795265"/>
          <c:h val="0.8416746864975212"/>
        </c:manualLayout>
      </c:layout>
      <c:lineChart>
        <c:grouping val="standard"/>
        <c:varyColors val="0"/>
        <c:ser>
          <c:idx val="0"/>
          <c:order val="0"/>
          <c:tx>
            <c:v>Summer (2021-)</c:v>
          </c:tx>
          <c:spPr>
            <a:ln w="19050" cap="rnd">
              <a:solidFill>
                <a:schemeClr val="accent6"/>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Indicators!$I$662:$AK$662</c:f>
              <c:numCache>
                <c:formatCode>#,##0</c:formatCode>
                <c:ptCount val="29"/>
                <c:pt idx="8">
                  <c:v>62689.600932795875</c:v>
                </c:pt>
                <c:pt idx="9">
                  <c:v>62403.223151453087</c:v>
                </c:pt>
                <c:pt idx="10">
                  <c:v>63689.712343710795</c:v>
                </c:pt>
                <c:pt idx="11">
                  <c:v>63570.795122369469</c:v>
                </c:pt>
                <c:pt idx="12">
                  <c:v>65469.619034800147</c:v>
                </c:pt>
                <c:pt idx="13">
                  <c:v>66360.775553114217</c:v>
                </c:pt>
                <c:pt idx="14">
                  <c:v>67195.909020644511</c:v>
                </c:pt>
                <c:pt idx="15">
                  <c:v>67792.447827761222</c:v>
                </c:pt>
                <c:pt idx="16">
                  <c:v>65980.31353524873</c:v>
                </c:pt>
                <c:pt idx="17">
                  <c:v>66129.895691589758</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0-646D-4054-8C7E-96942DA708AE}"/>
            </c:ext>
          </c:extLst>
        </c:ser>
        <c:ser>
          <c:idx val="1"/>
          <c:order val="1"/>
          <c:tx>
            <c:v>Winter (2021-)</c:v>
          </c:tx>
          <c:spPr>
            <a:ln w="19050" cap="rnd">
              <a:solidFill>
                <a:schemeClr val="accent5"/>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Indicators!$I$663:$AK$663</c:f>
              <c:numCache>
                <c:formatCode>#,##0</c:formatCode>
                <c:ptCount val="29"/>
                <c:pt idx="8">
                  <c:v>39884.908790538648</c:v>
                </c:pt>
                <c:pt idx="9">
                  <c:v>39692.069694930411</c:v>
                </c:pt>
                <c:pt idx="10">
                  <c:v>41315.033767195433</c:v>
                </c:pt>
                <c:pt idx="11">
                  <c:v>42503.59401513898</c:v>
                </c:pt>
                <c:pt idx="12">
                  <c:v>44673.512410646581</c:v>
                </c:pt>
                <c:pt idx="13">
                  <c:v>45226.973641100958</c:v>
                </c:pt>
                <c:pt idx="14">
                  <c:v>45924.550808296735</c:v>
                </c:pt>
                <c:pt idx="15">
                  <c:v>46870.170035992458</c:v>
                </c:pt>
                <c:pt idx="16">
                  <c:v>47354.015584396453</c:v>
                </c:pt>
                <c:pt idx="17">
                  <c:v>48544.626918992893</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646D-4054-8C7E-96942DA708AE}"/>
            </c:ext>
          </c:extLst>
        </c:ser>
        <c:ser>
          <c:idx val="2"/>
          <c:order val="2"/>
          <c:tx>
            <c:v>Shoulder (2021-)</c:v>
          </c:tx>
          <c:spPr>
            <a:ln w="19050" cap="rnd">
              <a:solidFill>
                <a:schemeClr val="accent2"/>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Indicators!$I$664:$AK$664</c:f>
              <c:numCache>
                <c:formatCode>#,##0</c:formatCode>
                <c:ptCount val="29"/>
                <c:pt idx="8">
                  <c:v>34874.288667470886</c:v>
                </c:pt>
                <c:pt idx="9">
                  <c:v>34405.871718960909</c:v>
                </c:pt>
                <c:pt idx="10">
                  <c:v>36281.470800200892</c:v>
                </c:pt>
                <c:pt idx="11">
                  <c:v>35907.728284780438</c:v>
                </c:pt>
                <c:pt idx="12">
                  <c:v>38075.912584606493</c:v>
                </c:pt>
                <c:pt idx="13">
                  <c:v>38663.350396666014</c:v>
                </c:pt>
                <c:pt idx="14">
                  <c:v>39910.444435660254</c:v>
                </c:pt>
                <c:pt idx="15">
                  <c:v>40189.936627950818</c:v>
                </c:pt>
                <c:pt idx="16">
                  <c:v>40579.231488521342</c:v>
                </c:pt>
                <c:pt idx="17">
                  <c:v>40835.381433298848</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2-646D-4054-8C7E-96942DA708AE}"/>
            </c:ext>
          </c:extLst>
        </c:ser>
        <c:ser>
          <c:idx val="3"/>
          <c:order val="3"/>
          <c:tx>
            <c:v>Summer (2013-2020)</c:v>
          </c:tx>
          <c:spPr>
            <a:ln w="19050" cap="rnd">
              <a:solidFill>
                <a:schemeClr val="accent6"/>
              </a:solidFill>
              <a:prstDash val="sysDot"/>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Indicators!$I$1307:$AK$1307</c:f>
              <c:numCache>
                <c:formatCode>#,##0</c:formatCode>
                <c:ptCount val="29"/>
                <c:pt idx="8">
                  <c:v>61673.35438740364</c:v>
                </c:pt>
                <c:pt idx="9">
                  <c:v>61220.381812419044</c:v>
                </c:pt>
                <c:pt idx="10">
                  <c:v>62558.041577395285</c:v>
                </c:pt>
                <c:pt idx="11">
                  <c:v>63181.26844905661</c:v>
                </c:pt>
                <c:pt idx="12">
                  <c:v>65390.065247564577</c:v>
                </c:pt>
                <c:pt idx="13">
                  <c:v>67081.996513845123</c:v>
                </c:pt>
                <c:pt idx="14">
                  <c:v>68226.610970305483</c:v>
                </c:pt>
                <c:pt idx="15">
                  <c:v>69403.905223946917</c:v>
                </c:pt>
                <c:pt idx="16">
                  <c:v>68039.965192679956</c:v>
                </c:pt>
                <c:pt idx="17">
                  <c:v>68825.8325108891</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3-646D-4054-8C7E-96942DA708AE}"/>
            </c:ext>
          </c:extLst>
        </c:ser>
        <c:ser>
          <c:idx val="4"/>
          <c:order val="4"/>
          <c:tx>
            <c:v>Winter (2013-2020)</c:v>
          </c:tx>
          <c:spPr>
            <a:ln w="19050" cap="rnd">
              <a:solidFill>
                <a:schemeClr val="accent5"/>
              </a:solidFill>
              <a:prstDash val="sysDot"/>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Indicators!$I$1313:$AK$1313</c:f>
              <c:numCache>
                <c:formatCode>#,##0</c:formatCode>
                <c:ptCount val="29"/>
                <c:pt idx="8">
                  <c:v>39760.38734993845</c:v>
                </c:pt>
                <c:pt idx="9">
                  <c:v>39607.89629689906</c:v>
                </c:pt>
                <c:pt idx="10">
                  <c:v>41364.137677428938</c:v>
                </c:pt>
                <c:pt idx="11">
                  <c:v>42732.439594055344</c:v>
                </c:pt>
                <c:pt idx="12">
                  <c:v>45480.676538330372</c:v>
                </c:pt>
                <c:pt idx="13">
                  <c:v>45783.990328929242</c:v>
                </c:pt>
                <c:pt idx="14">
                  <c:v>47174.060865778134</c:v>
                </c:pt>
                <c:pt idx="15">
                  <c:v>48047.124151988595</c:v>
                </c:pt>
                <c:pt idx="16">
                  <c:v>48709.284511567581</c:v>
                </c:pt>
                <c:pt idx="17">
                  <c:v>50762.509630877437</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4-646D-4054-8C7E-96942DA708AE}"/>
            </c:ext>
          </c:extLst>
        </c:ser>
        <c:ser>
          <c:idx val="5"/>
          <c:order val="5"/>
          <c:tx>
            <c:v>Shoulder (2013-2020)</c:v>
          </c:tx>
          <c:spPr>
            <a:ln w="19050" cap="rnd">
              <a:solidFill>
                <a:schemeClr val="accent2"/>
              </a:solidFill>
              <a:prstDash val="sysDot"/>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Indicators!$I$1319:$AK$1319</c:f>
              <c:numCache>
                <c:formatCode>General</c:formatCode>
                <c:ptCount val="29"/>
                <c:pt idx="8" formatCode="#,##0">
                  <c:v>35362.901231178614</c:v>
                </c:pt>
                <c:pt idx="9" formatCode="#,##0">
                  <c:v>34866.257007982145</c:v>
                </c:pt>
                <c:pt idx="10" formatCode="#,##0">
                  <c:v>37006.042517572394</c:v>
                </c:pt>
                <c:pt idx="11" formatCode="#,##0">
                  <c:v>36931.057128998626</c:v>
                </c:pt>
                <c:pt idx="12" formatCode="#,##0">
                  <c:v>39195.451970317241</c:v>
                </c:pt>
                <c:pt idx="13" formatCode="#,##0">
                  <c:v>40244.46739610919</c:v>
                </c:pt>
                <c:pt idx="14" formatCode="#,##0">
                  <c:v>41679.009821500229</c:v>
                </c:pt>
                <c:pt idx="15" formatCode="#,##0">
                  <c:v>42354.397781746862</c:v>
                </c:pt>
                <c:pt idx="16" formatCode="#,##0">
                  <c:v>42968.913413617141</c:v>
                </c:pt>
                <c:pt idx="17" formatCode="#,##0">
                  <c:v>43954.00899289982</c:v>
                </c:pt>
                <c:pt idx="18" formatCode="#,##0">
                  <c:v>0</c:v>
                </c:pt>
                <c:pt idx="19" formatCode="#,##0">
                  <c:v>0</c:v>
                </c:pt>
                <c:pt idx="20" formatCode="#,##0">
                  <c:v>0</c:v>
                </c:pt>
                <c:pt idx="21" formatCode="#,##0">
                  <c:v>0</c:v>
                </c:pt>
                <c:pt idx="22" formatCode="#,##0">
                  <c:v>0</c:v>
                </c:pt>
                <c:pt idx="23" formatCode="#,##0">
                  <c:v>0</c:v>
                </c:pt>
                <c:pt idx="24" formatCode="#,##0">
                  <c:v>0</c:v>
                </c:pt>
                <c:pt idx="25" formatCode="#,##0">
                  <c:v>0</c:v>
                </c:pt>
                <c:pt idx="26" formatCode="#,##0">
                  <c:v>0</c:v>
                </c:pt>
                <c:pt idx="27" formatCode="#,##0">
                  <c:v>0</c:v>
                </c:pt>
                <c:pt idx="28" formatCode="#,##0">
                  <c:v>0</c:v>
                </c:pt>
              </c:numCache>
            </c:numRef>
          </c:val>
          <c:smooth val="0"/>
          <c:extLst>
            <c:ext xmlns:c16="http://schemas.microsoft.com/office/drawing/2014/chart" uri="{C3380CC4-5D6E-409C-BE32-E72D297353CC}">
              <c16:uniqueId val="{00000005-646D-4054-8C7E-96942DA708AE}"/>
            </c:ext>
          </c:extLst>
        </c:ser>
        <c:dLbls>
          <c:showLegendKey val="0"/>
          <c:showVal val="0"/>
          <c:showCatName val="0"/>
          <c:showSerName val="0"/>
          <c:showPercent val="0"/>
          <c:showBubbleSize val="0"/>
        </c:dLbls>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Persons in the community any given day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spPr>
        <a:noFill/>
        <a:ln>
          <a:noFill/>
        </a:ln>
        <a:effectLst/>
      </c:spPr>
    </c:plotArea>
    <c:legend>
      <c:legendPos val="l"/>
      <c:layout>
        <c:manualLayout>
          <c:xMode val="edge"/>
          <c:yMode val="edge"/>
          <c:x val="3.4961488328000945E-2"/>
          <c:y val="0.22703092856636159"/>
          <c:w val="5.6128198081033323E-2"/>
          <c:h val="0.4560842732496275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r>
              <a:rPr lang="en-US"/>
              <a:t>Workforce Housing</a:t>
            </a:r>
          </a:p>
          <a:p>
            <a:pPr>
              <a:defRPr/>
            </a:pPr>
            <a:r>
              <a:rPr lang="en-US"/>
              <a:t>Pipeline</a:t>
            </a:r>
          </a:p>
        </c:rich>
      </c:tx>
      <c:layout>
        <c:manualLayout>
          <c:xMode val="edge"/>
          <c:yMode val="edge"/>
          <c:x val="1.7913486414606963E-2"/>
          <c:y val="5.0749711649365627E-2"/>
        </c:manualLayout>
      </c:layout>
      <c:overlay val="1"/>
      <c:spPr>
        <a:noFill/>
        <a:ln>
          <a:noFill/>
        </a:ln>
        <a:effectLst/>
      </c:spPr>
      <c:txPr>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983552055993002"/>
          <c:y val="5.0925925925925923E-2"/>
          <c:w val="0.80610844998541853"/>
          <c:h val="0.8416746864975212"/>
        </c:manualLayout>
      </c:layout>
      <c:barChart>
        <c:barDir val="col"/>
        <c:grouping val="stacked"/>
        <c:varyColors val="0"/>
        <c:ser>
          <c:idx val="1"/>
          <c:order val="0"/>
          <c:tx>
            <c:strRef>
              <c:f>Indicators!$C$300</c:f>
              <c:strCache>
                <c:ptCount val="1"/>
                <c:pt idx="0">
                  <c:v>Restricted Affordable Units</c:v>
                </c:pt>
              </c:strCache>
            </c:strRef>
          </c:tx>
          <c:spPr>
            <a:solidFill>
              <a:schemeClr val="accent6"/>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Indicators!$I$300:$AK$300</c:f>
              <c:numCache>
                <c:formatCode>#,##0</c:formatCode>
                <c:ptCount val="29"/>
                <c:pt idx="14">
                  <c:v>72</c:v>
                </c:pt>
                <c:pt idx="15">
                  <c:v>94</c:v>
                </c:pt>
                <c:pt idx="16">
                  <c:v>60</c:v>
                </c:pt>
                <c:pt idx="17">
                  <c:v>96</c:v>
                </c:pt>
                <c:pt idx="18">
                  <c:v>94</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6E6D-440A-A6EE-8FD2C2267955}"/>
            </c:ext>
          </c:extLst>
        </c:ser>
        <c:ser>
          <c:idx val="0"/>
          <c:order val="1"/>
          <c:tx>
            <c:strRef>
              <c:f>Indicators!$C$301</c:f>
              <c:strCache>
                <c:ptCount val="1"/>
                <c:pt idx="0">
                  <c:v>Restricted Workforce Units</c:v>
                </c:pt>
              </c:strCache>
            </c:strRef>
          </c:tx>
          <c:spPr>
            <a:solidFill>
              <a:schemeClr val="accent1"/>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Indicators!$I$301:$AK$301</c:f>
              <c:numCache>
                <c:formatCode>#,##0</c:formatCode>
                <c:ptCount val="29"/>
                <c:pt idx="14">
                  <c:v>115</c:v>
                </c:pt>
                <c:pt idx="15">
                  <c:v>150</c:v>
                </c:pt>
                <c:pt idx="16">
                  <c:v>123</c:v>
                </c:pt>
                <c:pt idx="17">
                  <c:v>106</c:v>
                </c:pt>
                <c:pt idx="18">
                  <c:v>177</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1-6E6D-440A-A6EE-8FD2C2267955}"/>
            </c:ext>
          </c:extLst>
        </c:ser>
        <c:ser>
          <c:idx val="2"/>
          <c:order val="2"/>
          <c:tx>
            <c:strRef>
              <c:f>Indicators!$C$302</c:f>
              <c:strCache>
                <c:ptCount val="1"/>
                <c:pt idx="0">
                  <c:v>Market Rental Units</c:v>
                </c:pt>
              </c:strCache>
            </c:strRef>
          </c:tx>
          <c:spPr>
            <a:solidFill>
              <a:srgbClr val="9999FF"/>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Indicators!$I$302:$AK$302</c:f>
              <c:numCache>
                <c:formatCode>#,##0</c:formatCode>
                <c:ptCount val="29"/>
                <c:pt idx="14">
                  <c:v>0</c:v>
                </c:pt>
                <c:pt idx="15">
                  <c:v>74</c:v>
                </c:pt>
                <c:pt idx="16">
                  <c:v>78</c:v>
                </c:pt>
                <c:pt idx="17">
                  <c:v>162</c:v>
                </c:pt>
                <c:pt idx="18">
                  <c:v>67</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2-6E6D-440A-A6EE-8FD2C2267955}"/>
            </c:ext>
          </c:extLst>
        </c:ser>
        <c:ser>
          <c:idx val="3"/>
          <c:order val="3"/>
          <c:tx>
            <c:strRef>
              <c:f>Indicators!$C$303</c:f>
              <c:strCache>
                <c:ptCount val="1"/>
                <c:pt idx="0">
                  <c:v>Market Ownership Units</c:v>
                </c:pt>
              </c:strCache>
            </c:strRef>
          </c:tx>
          <c:spPr>
            <a:solidFill>
              <a:srgbClr val="C00000"/>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Indicators!$I$303:$AK$303</c:f>
              <c:numCache>
                <c:formatCode>#,##0</c:formatCode>
                <c:ptCount val="29"/>
                <c:pt idx="14">
                  <c:v>188</c:v>
                </c:pt>
                <c:pt idx="15">
                  <c:v>324</c:v>
                </c:pt>
                <c:pt idx="16">
                  <c:v>236</c:v>
                </c:pt>
                <c:pt idx="17">
                  <c:v>202</c:v>
                </c:pt>
                <c:pt idx="18">
                  <c:v>131</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3-6E6D-440A-A6EE-8FD2C2267955}"/>
            </c:ext>
          </c:extLst>
        </c:ser>
        <c:dLbls>
          <c:showLegendKey val="0"/>
          <c:showVal val="0"/>
          <c:showCatName val="0"/>
          <c:showSerName val="0"/>
          <c:showPercent val="0"/>
          <c:showBubbleSize val="0"/>
        </c:dLbls>
        <c:gapWidth val="150"/>
        <c:overlap val="100"/>
        <c:axId val="566188600"/>
        <c:axId val="566189240"/>
      </c:barChart>
      <c:lineChart>
        <c:grouping val="standard"/>
        <c:varyColors val="0"/>
        <c:ser>
          <c:idx val="4"/>
          <c:order val="4"/>
          <c:tx>
            <c:strRef>
              <c:f>Indicators!$C$304</c:f>
              <c:strCache>
                <c:ptCount val="1"/>
                <c:pt idx="0">
                  <c:v>Percent Restricted or Rental</c:v>
                </c:pt>
              </c:strCache>
            </c:strRef>
          </c:tx>
          <c:spPr>
            <a:ln w="19050" cap="rnd">
              <a:solidFill>
                <a:schemeClr val="tx1"/>
              </a:solidFill>
              <a:prstDash val="sysDash"/>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Indicators!$I$304:$AK$304</c:f>
              <c:numCache>
                <c:formatCode>#,##0</c:formatCode>
                <c:ptCount val="29"/>
                <c:pt idx="14" formatCode="0%">
                  <c:v>0.49866666666666665</c:v>
                </c:pt>
                <c:pt idx="15" formatCode="0%">
                  <c:v>0.49532710280373832</c:v>
                </c:pt>
                <c:pt idx="16" formatCode="0%">
                  <c:v>0.52515090543259557</c:v>
                </c:pt>
                <c:pt idx="17" formatCode="0%">
                  <c:v>0.64310954063604242</c:v>
                </c:pt>
                <c:pt idx="18" formatCode="0%">
                  <c:v>0.72068230277185497</c:v>
                </c:pt>
                <c:pt idx="19" formatCode="0%">
                  <c:v>0</c:v>
                </c:pt>
                <c:pt idx="20" formatCode="0%">
                  <c:v>0</c:v>
                </c:pt>
                <c:pt idx="21" formatCode="0%">
                  <c:v>0</c:v>
                </c:pt>
                <c:pt idx="22" formatCode="0%">
                  <c:v>0</c:v>
                </c:pt>
                <c:pt idx="23" formatCode="0%">
                  <c:v>0</c:v>
                </c:pt>
                <c:pt idx="24" formatCode="0%">
                  <c:v>0</c:v>
                </c:pt>
                <c:pt idx="25" formatCode="0%">
                  <c:v>0</c:v>
                </c:pt>
                <c:pt idx="26" formatCode="0%">
                  <c:v>0</c:v>
                </c:pt>
                <c:pt idx="27" formatCode="0%">
                  <c:v>0</c:v>
                </c:pt>
                <c:pt idx="28" formatCode="0%">
                  <c:v>0</c:v>
                </c:pt>
              </c:numCache>
            </c:numRef>
          </c:val>
          <c:smooth val="0"/>
          <c:extLst>
            <c:ext xmlns:c16="http://schemas.microsoft.com/office/drawing/2014/chart" uri="{C3380CC4-5D6E-409C-BE32-E72D297353CC}">
              <c16:uniqueId val="{00000007-6E6D-440A-A6EE-8FD2C2267955}"/>
            </c:ext>
          </c:extLst>
        </c:ser>
        <c:dLbls>
          <c:showLegendKey val="0"/>
          <c:showVal val="0"/>
          <c:showCatName val="0"/>
          <c:showSerName val="0"/>
          <c:showPercent val="0"/>
          <c:showBubbleSize val="0"/>
        </c:dLbls>
        <c:marker val="1"/>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of Permitted Units that are Restricted or Rental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valAx>
        <c:axId val="56618924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Permitted (not yet built) Residential Units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6188600"/>
        <c:crosses val="max"/>
        <c:crossBetween val="between"/>
      </c:valAx>
      <c:catAx>
        <c:axId val="566188600"/>
        <c:scaling>
          <c:orientation val="minMax"/>
        </c:scaling>
        <c:delete val="1"/>
        <c:axPos val="b"/>
        <c:numFmt formatCode="General" sourceLinked="1"/>
        <c:majorTickMark val="out"/>
        <c:minorTickMark val="none"/>
        <c:tickLblPos val="nextTo"/>
        <c:crossAx val="566189240"/>
        <c:crosses val="autoZero"/>
        <c:auto val="1"/>
        <c:lblAlgn val="ctr"/>
        <c:lblOffset val="100"/>
        <c:noMultiLvlLbl val="0"/>
      </c:catAx>
      <c:spPr>
        <a:noFill/>
        <a:ln>
          <a:noFill/>
        </a:ln>
        <a:effectLst/>
      </c:spPr>
    </c:plotArea>
    <c:legend>
      <c:legendPos val="l"/>
      <c:layout>
        <c:manualLayout>
          <c:xMode val="edge"/>
          <c:yMode val="edge"/>
          <c:x val="9.5292891658854337E-3"/>
          <c:y val="0.28039924075234535"/>
          <c:w val="6.5004884806065907E-2"/>
          <c:h val="0.389276080974307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r>
              <a:rPr lang="en-US"/>
              <a:t>Housing Stock Profile</a:t>
            </a:r>
          </a:p>
        </c:rich>
      </c:tx>
      <c:layout>
        <c:manualLayout>
          <c:xMode val="edge"/>
          <c:yMode val="edge"/>
          <c:x val="1.7913486414606963E-2"/>
          <c:y val="5.0749711649365627E-2"/>
        </c:manualLayout>
      </c:layout>
      <c:overlay val="1"/>
      <c:spPr>
        <a:noFill/>
        <a:ln>
          <a:noFill/>
        </a:ln>
        <a:effectLst/>
      </c:spPr>
      <c:txPr>
        <a:bodyPr rot="0" spcFirstLastPara="1" vertOverflow="ellipsis" vert="horz" wrap="square" anchor="t" anchorCtr="0"/>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983552055993002"/>
          <c:y val="5.0925925925925923E-2"/>
          <c:w val="0.80610844998541853"/>
          <c:h val="0.8416746864975212"/>
        </c:manualLayout>
      </c:layout>
      <c:barChart>
        <c:barDir val="col"/>
        <c:grouping val="stacked"/>
        <c:varyColors val="0"/>
        <c:ser>
          <c:idx val="7"/>
          <c:order val="1"/>
          <c:tx>
            <c:strRef>
              <c:f>Indicators!$E$519</c:f>
              <c:strCache>
                <c:ptCount val="1"/>
                <c:pt idx="0">
                  <c:v>Vacant units</c:v>
                </c:pt>
              </c:strCache>
            </c:strRef>
          </c:tx>
          <c:spPr>
            <a:solidFill>
              <a:srgbClr val="C00000"/>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Indicators!$I$519:$AK$519</c:f>
              <c:numCache>
                <c:formatCode>#,##0</c:formatCode>
                <c:ptCount val="29"/>
                <c:pt idx="8">
                  <c:v>2405</c:v>
                </c:pt>
                <c:pt idx="9">
                  <c:v>2655</c:v>
                </c:pt>
                <c:pt idx="10">
                  <c:v>2591</c:v>
                </c:pt>
                <c:pt idx="11">
                  <c:v>2369</c:v>
                </c:pt>
                <c:pt idx="12">
                  <c:v>2185</c:v>
                </c:pt>
                <c:pt idx="13">
                  <c:v>1998</c:v>
                </c:pt>
                <c:pt idx="14">
                  <c:v>1742</c:v>
                </c:pt>
                <c:pt idx="15">
                  <c:v>1695</c:v>
                </c:pt>
                <c:pt idx="16">
                  <c:v>1642</c:v>
                </c:pt>
                <c:pt idx="17">
                  <c:v>2002</c:v>
                </c:pt>
                <c:pt idx="18">
                  <c:v>1966.0341405111067</c:v>
                </c:pt>
                <c:pt idx="19">
                  <c:v>1693.6320002091034</c:v>
                </c:pt>
                <c:pt idx="20">
                  <c:v>1489.1125452088127</c:v>
                </c:pt>
                <c:pt idx="21">
                  <c:v>1277.9781146133664</c:v>
                </c:pt>
                <c:pt idx="22">
                  <c:v>1054.4581071833527</c:v>
                </c:pt>
                <c:pt idx="23">
                  <c:v>848.36721592990762</c:v>
                </c:pt>
                <c:pt idx="24">
                  <c:v>641.77196262597499</c:v>
                </c:pt>
                <c:pt idx="25">
                  <c:v>434.46515140989504</c:v>
                </c:pt>
                <c:pt idx="26">
                  <c:v>227.37230141569489</c:v>
                </c:pt>
                <c:pt idx="27">
                  <c:v>20.378968134664319</c:v>
                </c:pt>
                <c:pt idx="28">
                  <c:v>-103.94765326320885</c:v>
                </c:pt>
              </c:numCache>
            </c:numRef>
          </c:val>
          <c:extLst>
            <c:ext xmlns:c16="http://schemas.microsoft.com/office/drawing/2014/chart" uri="{C3380CC4-5D6E-409C-BE32-E72D297353CC}">
              <c16:uniqueId val="{0000000A-C620-4ADD-88EB-408C4527F960}"/>
            </c:ext>
          </c:extLst>
        </c:ser>
        <c:ser>
          <c:idx val="8"/>
          <c:order val="2"/>
          <c:tx>
            <c:strRef>
              <c:f>Indicators!$E$520</c:f>
              <c:strCache>
                <c:ptCount val="1"/>
                <c:pt idx="0">
                  <c:v>Units occupied by nonworking households</c:v>
                </c:pt>
              </c:strCache>
            </c:strRef>
          </c:tx>
          <c:spPr>
            <a:solidFill>
              <a:srgbClr val="FF61FF"/>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Indicators!$I$520:$AK$520</c:f>
              <c:numCache>
                <c:formatCode>#,##0</c:formatCode>
                <c:ptCount val="29"/>
                <c:pt idx="8">
                  <c:v>1143</c:v>
                </c:pt>
                <c:pt idx="9">
                  <c:v>1073</c:v>
                </c:pt>
                <c:pt idx="10">
                  <c:v>988</c:v>
                </c:pt>
                <c:pt idx="11">
                  <c:v>1003</c:v>
                </c:pt>
                <c:pt idx="12">
                  <c:v>1043</c:v>
                </c:pt>
                <c:pt idx="13">
                  <c:v>1129</c:v>
                </c:pt>
                <c:pt idx="14">
                  <c:v>1293</c:v>
                </c:pt>
                <c:pt idx="15">
                  <c:v>1441</c:v>
                </c:pt>
                <c:pt idx="16">
                  <c:v>1450</c:v>
                </c:pt>
                <c:pt idx="17">
                  <c:v>1426</c:v>
                </c:pt>
                <c:pt idx="18">
                  <c:v>1484.5613554429592</c:v>
                </c:pt>
                <c:pt idx="19">
                  <c:v>1450.7956875625814</c:v>
                </c:pt>
                <c:pt idx="20">
                  <c:v>1494.1703863415387</c:v>
                </c:pt>
                <c:pt idx="21">
                  <c:v>1543.7655671838493</c:v>
                </c:pt>
                <c:pt idx="22">
                  <c:v>1591.0504622526605</c:v>
                </c:pt>
                <c:pt idx="23">
                  <c:v>1638.2229028739675</c:v>
                </c:pt>
                <c:pt idx="24">
                  <c:v>1684.1428570267144</c:v>
                </c:pt>
                <c:pt idx="25">
                  <c:v>1724.7484007559524</c:v>
                </c:pt>
                <c:pt idx="26">
                  <c:v>1767.9588105220737</c:v>
                </c:pt>
                <c:pt idx="27">
                  <c:v>1810.9113982970284</c:v>
                </c:pt>
                <c:pt idx="28">
                  <c:v>1741.9314797169463</c:v>
                </c:pt>
              </c:numCache>
            </c:numRef>
          </c:val>
          <c:extLst>
            <c:ext xmlns:c16="http://schemas.microsoft.com/office/drawing/2014/chart" uri="{C3380CC4-5D6E-409C-BE32-E72D297353CC}">
              <c16:uniqueId val="{0000000B-C620-4ADD-88EB-408C4527F960}"/>
            </c:ext>
          </c:extLst>
        </c:ser>
        <c:ser>
          <c:idx val="4"/>
          <c:order val="3"/>
          <c:tx>
            <c:strRef>
              <c:f>Indicators!$E$516</c:f>
              <c:strCache>
                <c:ptCount val="1"/>
                <c:pt idx="0">
                  <c:v>Unrestricted ownership (working)</c:v>
                </c:pt>
              </c:strCache>
            </c:strRef>
          </c:tx>
          <c:spPr>
            <a:solidFill>
              <a:srgbClr val="9999FF"/>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Indicators!$I$516:$AK$516</c:f>
              <c:numCache>
                <c:formatCode>#,##0</c:formatCode>
                <c:ptCount val="29"/>
                <c:pt idx="8">
                  <c:v>3410.5765410259901</c:v>
                </c:pt>
                <c:pt idx="9">
                  <c:v>3415.7420119994417</c:v>
                </c:pt>
                <c:pt idx="10">
                  <c:v>3379.071800493286</c:v>
                </c:pt>
                <c:pt idx="11">
                  <c:v>3396.4324146116314</c:v>
                </c:pt>
                <c:pt idx="12">
                  <c:v>3528.7717515559507</c:v>
                </c:pt>
                <c:pt idx="13">
                  <c:v>3743.973616709417</c:v>
                </c:pt>
                <c:pt idx="14">
                  <c:v>3808.2504664179105</c:v>
                </c:pt>
                <c:pt idx="15">
                  <c:v>3743.0892673448398</c:v>
                </c:pt>
                <c:pt idx="16">
                  <c:v>3863.4035185391385</c:v>
                </c:pt>
                <c:pt idx="17">
                  <c:v>4019.0716144360222</c:v>
                </c:pt>
                <c:pt idx="18">
                  <c:v>3975.5997794588193</c:v>
                </c:pt>
                <c:pt idx="19">
                  <c:v>4681.1214617359819</c:v>
                </c:pt>
                <c:pt idx="20">
                  <c:v>4739.8977222280055</c:v>
                </c:pt>
                <c:pt idx="21">
                  <c:v>5007.3669927632691</c:v>
                </c:pt>
                <c:pt idx="22">
                  <c:v>5010.1829734339362</c:v>
                </c:pt>
                <c:pt idx="23">
                  <c:v>4963.8460701203612</c:v>
                </c:pt>
                <c:pt idx="24">
                  <c:v>5052.4402291342858</c:v>
                </c:pt>
                <c:pt idx="25">
                  <c:v>5339.7906682782677</c:v>
                </c:pt>
                <c:pt idx="26">
                  <c:v>5302.8865565580109</c:v>
                </c:pt>
                <c:pt idx="27">
                  <c:v>5288.821189231614</c:v>
                </c:pt>
                <c:pt idx="28">
                  <c:v>5382.2506734350491</c:v>
                </c:pt>
              </c:numCache>
            </c:numRef>
          </c:val>
          <c:extLst>
            <c:ext xmlns:c16="http://schemas.microsoft.com/office/drawing/2014/chart" uri="{C3380CC4-5D6E-409C-BE32-E72D297353CC}">
              <c16:uniqueId val="{00000007-C620-4ADD-88EB-408C4527F960}"/>
            </c:ext>
          </c:extLst>
        </c:ser>
        <c:ser>
          <c:idx val="2"/>
          <c:order val="4"/>
          <c:tx>
            <c:strRef>
              <c:f>Indicators!$E$514</c:f>
              <c:strCache>
                <c:ptCount val="1"/>
                <c:pt idx="0">
                  <c:v>Unrestricted rental (workIng)</c:v>
                </c:pt>
              </c:strCache>
            </c:strRef>
          </c:tx>
          <c:spPr>
            <a:solidFill>
              <a:schemeClr val="accent1"/>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Indicators!$I$514:$AK$514</c:f>
              <c:numCache>
                <c:formatCode>#,##0</c:formatCode>
                <c:ptCount val="29"/>
                <c:pt idx="8">
                  <c:v>2011.4234589740099</c:v>
                </c:pt>
                <c:pt idx="9">
                  <c:v>1892.2579880005583</c:v>
                </c:pt>
                <c:pt idx="10">
                  <c:v>2087.928199506714</c:v>
                </c:pt>
                <c:pt idx="11">
                  <c:v>2310.5675853883686</c:v>
                </c:pt>
                <c:pt idx="12">
                  <c:v>2412.2282484440493</c:v>
                </c:pt>
                <c:pt idx="13">
                  <c:v>2348.0263832905825</c:v>
                </c:pt>
                <c:pt idx="14">
                  <c:v>2440.7495335820895</c:v>
                </c:pt>
                <c:pt idx="15">
                  <c:v>2512.9107326551607</c:v>
                </c:pt>
                <c:pt idx="16">
                  <c:v>2531.5964814608619</c:v>
                </c:pt>
                <c:pt idx="17">
                  <c:v>2211.9283855639778</c:v>
                </c:pt>
                <c:pt idx="18">
                  <c:v>2380.8047245871239</c:v>
                </c:pt>
                <c:pt idx="19">
                  <c:v>3237.4508504923415</c:v>
                </c:pt>
                <c:pt idx="20">
                  <c:v>3339.8193462216568</c:v>
                </c:pt>
                <c:pt idx="21">
                  <c:v>3233.8893254395307</c:v>
                </c:pt>
                <c:pt idx="22">
                  <c:v>3407.3084571300665</c:v>
                </c:pt>
                <c:pt idx="23">
                  <c:v>3612.5638110757823</c:v>
                </c:pt>
                <c:pt idx="24">
                  <c:v>3684.6449512130434</c:v>
                </c:pt>
                <c:pt idx="25">
                  <c:v>3563.9957795559067</c:v>
                </c:pt>
                <c:pt idx="26">
                  <c:v>3764.7823315042451</c:v>
                </c:pt>
                <c:pt idx="27">
                  <c:v>3942.8884443367215</c:v>
                </c:pt>
                <c:pt idx="28">
                  <c:v>4042.7655001112412</c:v>
                </c:pt>
              </c:numCache>
            </c:numRef>
          </c:val>
          <c:extLst>
            <c:ext xmlns:c16="http://schemas.microsoft.com/office/drawing/2014/chart" uri="{C3380CC4-5D6E-409C-BE32-E72D297353CC}">
              <c16:uniqueId val="{00000002-C620-4ADD-88EB-408C4527F960}"/>
            </c:ext>
          </c:extLst>
        </c:ser>
        <c:ser>
          <c:idx val="0"/>
          <c:order val="5"/>
          <c:tx>
            <c:strRef>
              <c:f>Indicators!$E$513</c:f>
              <c:strCache>
                <c:ptCount val="1"/>
                <c:pt idx="0">
                  <c:v>LDR Restricted Workforce</c:v>
                </c:pt>
              </c:strCache>
            </c:strRef>
          </c:tx>
          <c:spPr>
            <a:solidFill>
              <a:srgbClr val="00B0F0"/>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Indicators!$I$513:$AK$513</c:f>
              <c:numCache>
                <c:formatCode>#,##0</c:formatCode>
                <c:ptCount val="29"/>
                <c:pt idx="8">
                  <c:v>135</c:v>
                </c:pt>
                <c:pt idx="9">
                  <c:v>137</c:v>
                </c:pt>
                <c:pt idx="10">
                  <c:v>141</c:v>
                </c:pt>
                <c:pt idx="11">
                  <c:v>144</c:v>
                </c:pt>
                <c:pt idx="12">
                  <c:v>151</c:v>
                </c:pt>
                <c:pt idx="13">
                  <c:v>155</c:v>
                </c:pt>
                <c:pt idx="14">
                  <c:v>161</c:v>
                </c:pt>
                <c:pt idx="15">
                  <c:v>169</c:v>
                </c:pt>
                <c:pt idx="16">
                  <c:v>173</c:v>
                </c:pt>
                <c:pt idx="17">
                  <c:v>177</c:v>
                </c:pt>
                <c:pt idx="18">
                  <c:v>177</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1-C620-4ADD-88EB-408C4527F960}"/>
            </c:ext>
          </c:extLst>
        </c:ser>
        <c:ser>
          <c:idx val="1"/>
          <c:order val="6"/>
          <c:tx>
            <c:strRef>
              <c:f>Indicators!$E$512</c:f>
              <c:strCache>
                <c:ptCount val="1"/>
                <c:pt idx="0">
                  <c:v>Deed Restricted Workforce &amp; Affordable</c:v>
                </c:pt>
              </c:strCache>
            </c:strRef>
          </c:tx>
          <c:spPr>
            <a:solidFill>
              <a:schemeClr val="accent6"/>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Indicators!$I$512:$AK$512</c:f>
              <c:numCache>
                <c:formatCode>#,##0</c:formatCode>
                <c:ptCount val="29"/>
                <c:pt idx="8">
                  <c:v>649</c:v>
                </c:pt>
                <c:pt idx="9">
                  <c:v>649</c:v>
                </c:pt>
                <c:pt idx="10">
                  <c:v>702</c:v>
                </c:pt>
                <c:pt idx="11">
                  <c:v>729</c:v>
                </c:pt>
                <c:pt idx="12">
                  <c:v>738</c:v>
                </c:pt>
                <c:pt idx="13">
                  <c:v>811</c:v>
                </c:pt>
                <c:pt idx="14">
                  <c:v>873</c:v>
                </c:pt>
                <c:pt idx="15">
                  <c:v>883</c:v>
                </c:pt>
                <c:pt idx="16">
                  <c:v>963</c:v>
                </c:pt>
                <c:pt idx="17">
                  <c:v>1005</c:v>
                </c:pt>
                <c:pt idx="18">
                  <c:v>1079</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C620-4ADD-88EB-408C4527F960}"/>
            </c:ext>
          </c:extLst>
        </c:ser>
        <c:dLbls>
          <c:showLegendKey val="0"/>
          <c:showVal val="0"/>
          <c:showCatName val="0"/>
          <c:showSerName val="0"/>
          <c:showPercent val="0"/>
          <c:showBubbleSize val="0"/>
        </c:dLbls>
        <c:gapWidth val="150"/>
        <c:overlap val="100"/>
        <c:axId val="486728904"/>
        <c:axId val="486733704"/>
      </c:barChart>
      <c:lineChart>
        <c:grouping val="standard"/>
        <c:varyColors val="0"/>
        <c:ser>
          <c:idx val="3"/>
          <c:order val="0"/>
          <c:tx>
            <c:strRef>
              <c:f>Indicators!$E$511</c:f>
              <c:strCache>
                <c:ptCount val="1"/>
                <c:pt idx="0">
                  <c:v>% of units occupied by the workforce</c:v>
                </c:pt>
              </c:strCache>
            </c:strRef>
          </c:tx>
          <c:spPr>
            <a:ln w="19050" cap="rnd">
              <a:solidFill>
                <a:schemeClr val="tx1"/>
              </a:solidFill>
              <a:prstDash val="sysDash"/>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Indicators!$I$511:$AK$511</c:f>
              <c:numCache>
                <c:formatCode>#,##0</c:formatCode>
                <c:ptCount val="29"/>
                <c:pt idx="8" formatCode="0%">
                  <c:v>0.63625179413573918</c:v>
                </c:pt>
                <c:pt idx="9" formatCode="0%">
                  <c:v>0.62044390144573403</c:v>
                </c:pt>
                <c:pt idx="10" formatCode="0%">
                  <c:v>0.63808271817170592</c:v>
                </c:pt>
                <c:pt idx="11" formatCode="0%">
                  <c:v>0.6611736334405145</c:v>
                </c:pt>
                <c:pt idx="12" formatCode="0%">
                  <c:v>0.67906144362696363</c:v>
                </c:pt>
                <c:pt idx="13" formatCode="0%">
                  <c:v>0.69297987236131564</c:v>
                </c:pt>
                <c:pt idx="14" formatCode="0%">
                  <c:v>0.70585384764489245</c:v>
                </c:pt>
                <c:pt idx="15" formatCode="0%">
                  <c:v>0.69973190348525471</c:v>
                </c:pt>
                <c:pt idx="16" formatCode="0%">
                  <c:v>0.70893344629577337</c:v>
                </c:pt>
                <c:pt idx="17" formatCode="0%">
                  <c:v>0.68379300802508991</c:v>
                </c:pt>
                <c:pt idx="18" formatCode="0%">
                  <c:v>0.68809586043983861</c:v>
                </c:pt>
                <c:pt idx="19" formatCode="0%">
                  <c:v>0.71577079564569424</c:v>
                </c:pt>
                <c:pt idx="20" formatCode="0%">
                  <c:v>0.73033689491545228</c:v>
                </c:pt>
                <c:pt idx="21" formatCode="0%">
                  <c:v>0.74493865300576556</c:v>
                </c:pt>
                <c:pt idx="22" formatCode="0%">
                  <c:v>0.76086879061411794</c:v>
                </c:pt>
                <c:pt idx="23" formatCode="0%">
                  <c:v>0.77523365101655295</c:v>
                </c:pt>
                <c:pt idx="24" formatCode="0%">
                  <c:v>0.78975731540697014</c:v>
                </c:pt>
                <c:pt idx="25" formatCode="0%">
                  <c:v>0.80482567547990169</c:v>
                </c:pt>
                <c:pt idx="26" formatCode="0%">
                  <c:v>0.81963923782538473</c:v>
                </c:pt>
                <c:pt idx="27" formatCode="0%">
                  <c:v>0.83446710960574055</c:v>
                </c:pt>
                <c:pt idx="28" formatCode="0%">
                  <c:v>0.85194035736656082</c:v>
                </c:pt>
              </c:numCache>
            </c:numRef>
          </c:val>
          <c:smooth val="0"/>
          <c:extLst>
            <c:ext xmlns:c16="http://schemas.microsoft.com/office/drawing/2014/chart" uri="{C3380CC4-5D6E-409C-BE32-E72D297353CC}">
              <c16:uniqueId val="{0000000C-C620-4ADD-88EB-408C4527F960}"/>
            </c:ext>
          </c:extLst>
        </c:ser>
        <c:dLbls>
          <c:showLegendKey val="0"/>
          <c:showVal val="0"/>
          <c:showCatName val="0"/>
          <c:showSerName val="0"/>
          <c:showPercent val="0"/>
          <c:showBubbleSize val="0"/>
        </c:dLbls>
        <c:marker val="1"/>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of Units Occupied by the Workforce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valAx>
        <c:axId val="486733704"/>
        <c:scaling>
          <c:orientation val="minMax"/>
          <c:min val="0"/>
        </c:scaling>
        <c:delete val="0"/>
        <c:axPos val="r"/>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728904"/>
        <c:crosses val="max"/>
        <c:crossBetween val="between"/>
      </c:valAx>
      <c:catAx>
        <c:axId val="486728904"/>
        <c:scaling>
          <c:orientation val="minMax"/>
        </c:scaling>
        <c:delete val="1"/>
        <c:axPos val="b"/>
        <c:numFmt formatCode="General" sourceLinked="1"/>
        <c:majorTickMark val="out"/>
        <c:minorTickMark val="none"/>
        <c:tickLblPos val="nextTo"/>
        <c:crossAx val="486733704"/>
        <c:crosses val="autoZero"/>
        <c:auto val="1"/>
        <c:lblAlgn val="ctr"/>
        <c:lblOffset val="100"/>
        <c:noMultiLvlLbl val="0"/>
      </c:catAx>
      <c:spPr>
        <a:noFill/>
        <a:ln>
          <a:noFill/>
        </a:ln>
        <a:effectLst/>
      </c:spPr>
    </c:plotArea>
    <c:legend>
      <c:legendPos val="l"/>
      <c:layout>
        <c:manualLayout>
          <c:xMode val="edge"/>
          <c:yMode val="edge"/>
          <c:x val="1.1381124234470691E-2"/>
          <c:y val="0.18812703775349882"/>
          <c:w val="8.1930956547098283E-2"/>
          <c:h val="0.544986513364030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Location of Potential Growth</a:t>
            </a:r>
          </a:p>
        </c:rich>
      </c:tx>
      <c:layout>
        <c:manualLayout>
          <c:xMode val="edge"/>
          <c:yMode val="edge"/>
          <c:x val="2.8912975576099155E-2"/>
          <c:y val="3.2295271049596307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01324457000601"/>
          <c:y val="5.0925925925925923E-2"/>
          <c:w val="0.82481983002568715"/>
          <c:h val="0.8416746864975212"/>
        </c:manualLayout>
      </c:layout>
      <c:barChart>
        <c:barDir val="col"/>
        <c:grouping val="stacked"/>
        <c:varyColors val="0"/>
        <c:ser>
          <c:idx val="1"/>
          <c:order val="0"/>
          <c:tx>
            <c:strRef>
              <c:f>Indicators!$C$244</c:f>
              <c:strCache>
                <c:ptCount val="1"/>
                <c:pt idx="0">
                  <c:v>Potential Complete Neighborhood Residential Units</c:v>
                </c:pt>
              </c:strCache>
            </c:strRef>
          </c:tx>
          <c:spPr>
            <a:solidFill>
              <a:schemeClr val="accent2"/>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Indicators!$I$244:$AK$244</c:f>
              <c:numCache>
                <c:formatCode>#,##0</c:formatCode>
                <c:ptCount val="29"/>
                <c:pt idx="4">
                  <c:v>3835</c:v>
                </c:pt>
                <c:pt idx="5">
                  <c:v>3765</c:v>
                </c:pt>
                <c:pt idx="6">
                  <c:v>3698</c:v>
                </c:pt>
                <c:pt idx="7">
                  <c:v>3618</c:v>
                </c:pt>
                <c:pt idx="8">
                  <c:v>3535</c:v>
                </c:pt>
                <c:pt idx="9">
                  <c:v>3576</c:v>
                </c:pt>
                <c:pt idx="10">
                  <c:v>3540</c:v>
                </c:pt>
                <c:pt idx="11">
                  <c:v>3505</c:v>
                </c:pt>
                <c:pt idx="12">
                  <c:v>3445</c:v>
                </c:pt>
                <c:pt idx="13">
                  <c:v>4193</c:v>
                </c:pt>
                <c:pt idx="14">
                  <c:v>4074</c:v>
                </c:pt>
                <c:pt idx="15">
                  <c:v>4020</c:v>
                </c:pt>
                <c:pt idx="16">
                  <c:v>5649.6</c:v>
                </c:pt>
                <c:pt idx="17">
                  <c:v>5514.6</c:v>
                </c:pt>
                <c:pt idx="18">
                  <c:v>5339.6</c:v>
                </c:pt>
                <c:pt idx="19">
                  <c:v>5339.6</c:v>
                </c:pt>
                <c:pt idx="20">
                  <c:v>5339.6</c:v>
                </c:pt>
                <c:pt idx="21">
                  <c:v>5339.6</c:v>
                </c:pt>
                <c:pt idx="22">
                  <c:v>5339.6</c:v>
                </c:pt>
                <c:pt idx="23">
                  <c:v>5339.6</c:v>
                </c:pt>
                <c:pt idx="24">
                  <c:v>5339.6</c:v>
                </c:pt>
                <c:pt idx="25">
                  <c:v>5339.6</c:v>
                </c:pt>
                <c:pt idx="26">
                  <c:v>5339.6</c:v>
                </c:pt>
                <c:pt idx="27">
                  <c:v>5339.6</c:v>
                </c:pt>
                <c:pt idx="28">
                  <c:v>5339.6</c:v>
                </c:pt>
              </c:numCache>
            </c:numRef>
          </c:val>
          <c:extLst>
            <c:ext xmlns:c16="http://schemas.microsoft.com/office/drawing/2014/chart" uri="{C3380CC4-5D6E-409C-BE32-E72D297353CC}">
              <c16:uniqueId val="{00000000-D83E-4033-B42C-AE4206235C9B}"/>
            </c:ext>
          </c:extLst>
        </c:ser>
        <c:ser>
          <c:idx val="0"/>
          <c:order val="1"/>
          <c:tx>
            <c:strRef>
              <c:f>Indicators!$C$243</c:f>
              <c:strCache>
                <c:ptCount val="1"/>
                <c:pt idx="0">
                  <c:v>Potential Rural Area Residential Units</c:v>
                </c:pt>
              </c:strCache>
            </c:strRef>
          </c:tx>
          <c:spPr>
            <a:solidFill>
              <a:schemeClr val="accent6"/>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Indicators!$I$243:$AK$243</c:f>
              <c:numCache>
                <c:formatCode>#,##0</c:formatCode>
                <c:ptCount val="29"/>
                <c:pt idx="4">
                  <c:v>6861</c:v>
                </c:pt>
                <c:pt idx="5">
                  <c:v>6684</c:v>
                </c:pt>
                <c:pt idx="6">
                  <c:v>6598</c:v>
                </c:pt>
                <c:pt idx="7">
                  <c:v>6515</c:v>
                </c:pt>
                <c:pt idx="8">
                  <c:v>6427</c:v>
                </c:pt>
                <c:pt idx="9">
                  <c:v>6385</c:v>
                </c:pt>
                <c:pt idx="10">
                  <c:v>6322</c:v>
                </c:pt>
                <c:pt idx="11">
                  <c:v>6282</c:v>
                </c:pt>
                <c:pt idx="12">
                  <c:v>6222</c:v>
                </c:pt>
                <c:pt idx="13">
                  <c:v>3722</c:v>
                </c:pt>
                <c:pt idx="14">
                  <c:v>3632.4</c:v>
                </c:pt>
                <c:pt idx="15">
                  <c:v>3573.4</c:v>
                </c:pt>
                <c:pt idx="16">
                  <c:v>3510.4</c:v>
                </c:pt>
                <c:pt idx="17">
                  <c:v>3434.4</c:v>
                </c:pt>
                <c:pt idx="18">
                  <c:v>3374.4</c:v>
                </c:pt>
                <c:pt idx="19">
                  <c:v>3374.4</c:v>
                </c:pt>
                <c:pt idx="20">
                  <c:v>3374.4</c:v>
                </c:pt>
                <c:pt idx="21">
                  <c:v>3374.4</c:v>
                </c:pt>
                <c:pt idx="22">
                  <c:v>3374.4</c:v>
                </c:pt>
                <c:pt idx="23">
                  <c:v>3374.4</c:v>
                </c:pt>
                <c:pt idx="24">
                  <c:v>3374.4</c:v>
                </c:pt>
                <c:pt idx="25">
                  <c:v>3374.4</c:v>
                </c:pt>
                <c:pt idx="26">
                  <c:v>3374.4</c:v>
                </c:pt>
                <c:pt idx="27">
                  <c:v>3374.4</c:v>
                </c:pt>
                <c:pt idx="28">
                  <c:v>3374.4</c:v>
                </c:pt>
              </c:numCache>
            </c:numRef>
          </c:val>
          <c:extLst>
            <c:ext xmlns:c16="http://schemas.microsoft.com/office/drawing/2014/chart" uri="{C3380CC4-5D6E-409C-BE32-E72D297353CC}">
              <c16:uniqueId val="{00000001-D83E-4033-B42C-AE4206235C9B}"/>
            </c:ext>
          </c:extLst>
        </c:ser>
        <c:dLbls>
          <c:showLegendKey val="0"/>
          <c:showVal val="0"/>
          <c:showCatName val="0"/>
          <c:showSerName val="0"/>
          <c:showPercent val="0"/>
          <c:showBubbleSize val="0"/>
        </c:dLbls>
        <c:gapWidth val="150"/>
        <c:overlap val="100"/>
        <c:axId val="820790392"/>
        <c:axId val="820794232"/>
      </c:barChart>
      <c:lineChart>
        <c:grouping val="standard"/>
        <c:varyColors val="0"/>
        <c:ser>
          <c:idx val="2"/>
          <c:order val="2"/>
          <c:tx>
            <c:strRef>
              <c:f>Indicators!$C$245</c:f>
              <c:strCache>
                <c:ptCount val="1"/>
                <c:pt idx="0">
                  <c:v>Percent of Potential in Complete Neighborhoods</c:v>
                </c:pt>
              </c:strCache>
            </c:strRef>
          </c:tx>
          <c:spPr>
            <a:ln w="19050"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Indicators!$I$245:$AK$245</c:f>
              <c:numCache>
                <c:formatCode>#,##0</c:formatCode>
                <c:ptCount val="29"/>
                <c:pt idx="4" formatCode="0%">
                  <c:v>0.35854525056095737</c:v>
                </c:pt>
                <c:pt idx="5" formatCode="0%">
                  <c:v>0.36032156187194947</c:v>
                </c:pt>
                <c:pt idx="6" formatCode="0%">
                  <c:v>0.35916860916860915</c:v>
                </c:pt>
                <c:pt idx="7" formatCode="0%">
                  <c:v>0.35705121879009177</c:v>
                </c:pt>
                <c:pt idx="8" formatCode="0%">
                  <c:v>0.35484842401124272</c:v>
                </c:pt>
                <c:pt idx="9" formatCode="0%">
                  <c:v>0.35900010039152697</c:v>
                </c:pt>
                <c:pt idx="10" formatCode="0%">
                  <c:v>0.35895355911579802</c:v>
                </c:pt>
                <c:pt idx="11" formatCode="0%">
                  <c:v>0.35812812915091446</c:v>
                </c:pt>
                <c:pt idx="12" formatCode="0%">
                  <c:v>0.35636702182683355</c:v>
                </c:pt>
                <c:pt idx="13" formatCode="0%">
                  <c:v>0.52975363234365125</c:v>
                </c:pt>
                <c:pt idx="14" formatCode="0%">
                  <c:v>0.52865151043288694</c:v>
                </c:pt>
                <c:pt idx="15" formatCode="0%">
                  <c:v>0.52940711670661367</c:v>
                </c:pt>
                <c:pt idx="16" formatCode="0%">
                  <c:v>0.61676855895196514</c:v>
                </c:pt>
                <c:pt idx="17" formatCode="0%">
                  <c:v>0.61622527656721426</c:v>
                </c:pt>
                <c:pt idx="18" formatCode="0%">
                  <c:v>0.61276107413357817</c:v>
                </c:pt>
                <c:pt idx="19" formatCode="0%">
                  <c:v>0.61276107413357817</c:v>
                </c:pt>
                <c:pt idx="20" formatCode="0%">
                  <c:v>0.61276107413357817</c:v>
                </c:pt>
                <c:pt idx="21" formatCode="0%">
                  <c:v>0.61276107413357817</c:v>
                </c:pt>
                <c:pt idx="22" formatCode="0%">
                  <c:v>0.61276107413357817</c:v>
                </c:pt>
                <c:pt idx="23" formatCode="0%">
                  <c:v>0.61276107413357817</c:v>
                </c:pt>
                <c:pt idx="24" formatCode="0%">
                  <c:v>0.61276107413357817</c:v>
                </c:pt>
                <c:pt idx="25" formatCode="0%">
                  <c:v>0.61276107413357817</c:v>
                </c:pt>
                <c:pt idx="26" formatCode="0%">
                  <c:v>0.61276107413357817</c:v>
                </c:pt>
                <c:pt idx="27" formatCode="0%">
                  <c:v>0.61276107413357817</c:v>
                </c:pt>
                <c:pt idx="28" formatCode="0%">
                  <c:v>0.61276107413357817</c:v>
                </c:pt>
              </c:numCache>
            </c:numRef>
          </c:val>
          <c:smooth val="0"/>
          <c:extLst>
            <c:ext xmlns:c16="http://schemas.microsoft.com/office/drawing/2014/chart" uri="{C3380CC4-5D6E-409C-BE32-E72D297353CC}">
              <c16:uniqueId val="{00000001-6D6D-4C79-BA2A-CB425D99D115}"/>
            </c:ext>
          </c:extLst>
        </c:ser>
        <c:dLbls>
          <c:showLegendKey val="0"/>
          <c:showVal val="0"/>
          <c:showCatName val="0"/>
          <c:showSerName val="0"/>
          <c:showPercent val="0"/>
          <c:showBubbleSize val="0"/>
        </c:dLbls>
        <c:marker val="1"/>
        <c:smooth val="0"/>
        <c:axId val="583579320"/>
        <c:axId val="583578680"/>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Future Residential Units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valAx>
        <c:axId val="583578680"/>
        <c:scaling>
          <c:orientation val="minMax"/>
          <c:max val="3"/>
        </c:scaling>
        <c:delete val="0"/>
        <c:axPos val="r"/>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noFill/>
                <a:latin typeface="+mn-lt"/>
                <a:ea typeface="+mn-ea"/>
                <a:cs typeface="+mn-cs"/>
              </a:defRPr>
            </a:pPr>
            <a:endParaRPr lang="en-US"/>
          </a:p>
        </c:txPr>
        <c:crossAx val="583579320"/>
        <c:crosses val="max"/>
        <c:crossBetween val="between"/>
      </c:valAx>
      <c:catAx>
        <c:axId val="583579320"/>
        <c:scaling>
          <c:orientation val="minMax"/>
        </c:scaling>
        <c:delete val="1"/>
        <c:axPos val="b"/>
        <c:numFmt formatCode="General" sourceLinked="1"/>
        <c:majorTickMark val="out"/>
        <c:minorTickMark val="none"/>
        <c:tickLblPos val="nextTo"/>
        <c:crossAx val="583578680"/>
        <c:crosses val="autoZero"/>
        <c:auto val="1"/>
        <c:lblAlgn val="ctr"/>
        <c:lblOffset val="100"/>
        <c:noMultiLvlLbl val="0"/>
      </c:catAx>
      <c:spPr>
        <a:noFill/>
        <a:ln>
          <a:noFill/>
        </a:ln>
        <a:effectLst/>
      </c:spPr>
    </c:plotArea>
    <c:legend>
      <c:legendPos val="l"/>
      <c:legendEntry>
        <c:idx val="2"/>
        <c:delete val="1"/>
      </c:legendEntry>
      <c:layout>
        <c:manualLayout>
          <c:xMode val="edge"/>
          <c:yMode val="edge"/>
          <c:x val="3.1150035197642929E-2"/>
          <c:y val="0.30346729150205703"/>
          <c:w val="9.7071649347561573E-2"/>
          <c:h val="0.155710432389722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Housing Affordability</a:t>
            </a:r>
          </a:p>
        </c:rich>
      </c:tx>
      <c:layout>
        <c:manualLayout>
          <c:xMode val="edge"/>
          <c:yMode val="edge"/>
          <c:x val="3.6635866659575474E-2"/>
          <c:y val="5.4054054054054057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64327414992074"/>
          <c:y val="5.0925925925925923E-2"/>
          <c:w val="0.8244863881883232"/>
          <c:h val="0.8416746864975212"/>
        </c:manualLayout>
      </c:layout>
      <c:lineChart>
        <c:grouping val="standard"/>
        <c:varyColors val="0"/>
        <c:ser>
          <c:idx val="2"/>
          <c:order val="0"/>
          <c:tx>
            <c:v>Median Single-Family Home Price</c:v>
          </c:tx>
          <c:spPr>
            <a:ln w="19050" cap="rnd">
              <a:solidFill>
                <a:schemeClr val="accent1"/>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Indicators!$I$1444:$AK$1444</c:f>
              <c:numCache>
                <c:formatCode>0%</c:formatCode>
                <c:ptCount val="29"/>
                <c:pt idx="0">
                  <c:v>8.3333333333333339</c:v>
                </c:pt>
                <c:pt idx="1">
                  <c:v>7.8683834048640913</c:v>
                </c:pt>
                <c:pt idx="2">
                  <c:v>8.1673306772908365</c:v>
                </c:pt>
                <c:pt idx="3">
                  <c:v>10.067114093959731</c:v>
                </c:pt>
                <c:pt idx="4">
                  <c:v>13.154362416107382</c:v>
                </c:pt>
                <c:pt idx="5">
                  <c:v>15.436241610738255</c:v>
                </c:pt>
                <c:pt idx="6">
                  <c:v>15.006002400960384</c:v>
                </c:pt>
                <c:pt idx="7">
                  <c:v>11.173184357541899</c:v>
                </c:pt>
                <c:pt idx="8">
                  <c:v>14.525139664804469</c:v>
                </c:pt>
                <c:pt idx="9">
                  <c:v>10.010537407797681</c:v>
                </c:pt>
                <c:pt idx="10">
                  <c:v>9.4594594594594597</c:v>
                </c:pt>
                <c:pt idx="11">
                  <c:v>8.670820353063343</c:v>
                </c:pt>
                <c:pt idx="12">
                  <c:v>9.9690082644628095</c:v>
                </c:pt>
                <c:pt idx="13">
                  <c:v>13.230429988974642</c:v>
                </c:pt>
                <c:pt idx="14">
                  <c:v>13.170163170163169</c:v>
                </c:pt>
                <c:pt idx="15">
                  <c:v>14.223194748358862</c:v>
                </c:pt>
                <c:pt idx="16">
                  <c:v>16.345177664974621</c:v>
                </c:pt>
                <c:pt idx="17">
                  <c:v>17.025440313111545</c:v>
                </c:pt>
                <c:pt idx="18">
                  <c:v>22.583559168925024</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3-1077-442C-A821-7330CAD878B7}"/>
            </c:ext>
          </c:extLst>
        </c:ser>
        <c:ser>
          <c:idx val="1"/>
          <c:order val="1"/>
          <c:tx>
            <c:v>Medain Home Price</c:v>
          </c:tx>
          <c:spPr>
            <a:ln w="19050" cap="rnd">
              <a:solidFill>
                <a:srgbClr val="C00000"/>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Indicators!$I$1443:$AK$1443</c:f>
              <c:numCache>
                <c:formatCode>0%</c:formatCode>
                <c:ptCount val="29"/>
                <c:pt idx="1">
                  <c:v>6.437768240343348</c:v>
                </c:pt>
                <c:pt idx="2">
                  <c:v>6.0590969455511292</c:v>
                </c:pt>
                <c:pt idx="3">
                  <c:v>8.053691275167786</c:v>
                </c:pt>
                <c:pt idx="4">
                  <c:v>9.1946308724832218</c:v>
                </c:pt>
                <c:pt idx="5">
                  <c:v>10.738255033557047</c:v>
                </c:pt>
                <c:pt idx="6">
                  <c:v>11.437575030012004</c:v>
                </c:pt>
                <c:pt idx="7">
                  <c:v>9.0363128491620106</c:v>
                </c:pt>
                <c:pt idx="8">
                  <c:v>8.8826815642458108</c:v>
                </c:pt>
                <c:pt idx="9">
                  <c:v>6.8493150684931505</c:v>
                </c:pt>
                <c:pt idx="10">
                  <c:v>6.252598752598753</c:v>
                </c:pt>
                <c:pt idx="11">
                  <c:v>6.4763551401869162</c:v>
                </c:pt>
                <c:pt idx="12">
                  <c:v>7.5929752066115705</c:v>
                </c:pt>
                <c:pt idx="13">
                  <c:v>9.7023153252480707</c:v>
                </c:pt>
                <c:pt idx="14">
                  <c:v>9.1491841491841495</c:v>
                </c:pt>
                <c:pt idx="15">
                  <c:v>8.9715536105032818</c:v>
                </c:pt>
                <c:pt idx="16">
                  <c:v>9.8984771573604053</c:v>
                </c:pt>
                <c:pt idx="17">
                  <c:v>10.029354207436398</c:v>
                </c:pt>
                <c:pt idx="18">
                  <c:v>13.098464317976513</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1077-442C-A821-7330CAD878B7}"/>
            </c:ext>
          </c:extLst>
        </c:ser>
        <c:ser>
          <c:idx val="0"/>
          <c:order val="2"/>
          <c:tx>
            <c:v>Affordable</c:v>
          </c:tx>
          <c:spPr>
            <a:ln w="19050" cap="rnd">
              <a:solidFill>
                <a:schemeClr val="accent6"/>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Indicators!$I$1442:$AK$1442</c:f>
              <c:numCache>
                <c:formatCode>0%</c:formatCode>
                <c:ptCount val="2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numCache>
            </c:numRef>
          </c:val>
          <c:smooth val="0"/>
          <c:extLst>
            <c:ext xmlns:c16="http://schemas.microsoft.com/office/drawing/2014/chart" uri="{C3380CC4-5D6E-409C-BE32-E72D297353CC}">
              <c16:uniqueId val="{00000000-1077-442C-A821-7330CAD878B7}"/>
            </c:ext>
          </c:extLst>
        </c:ser>
        <c:dLbls>
          <c:showLegendKey val="0"/>
          <c:showVal val="0"/>
          <c:showCatName val="0"/>
          <c:showSerName val="0"/>
          <c:showPercent val="0"/>
          <c:showBubbleSize val="0"/>
        </c:dLbls>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1"/>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Price as a % of Median Income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spPr>
        <a:noFill/>
        <a:ln>
          <a:noFill/>
        </a:ln>
        <a:effectLst/>
      </c:spPr>
    </c:plotArea>
    <c:legend>
      <c:legendPos val="l"/>
      <c:layout>
        <c:manualLayout>
          <c:xMode val="edge"/>
          <c:yMode val="edge"/>
          <c:x val="2.9273610617371725E-2"/>
          <c:y val="0.30811200964744268"/>
          <c:w val="7.2321700988940543E-2"/>
          <c:h val="0.228042136624813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Conservation</a:t>
            </a:r>
            <a:r>
              <a:rPr lang="en-US" baseline="0"/>
              <a:t> vs. Subdivision of Rural Areas</a:t>
            </a:r>
            <a:endParaRPr lang="en-US"/>
          </a:p>
        </c:rich>
      </c:tx>
      <c:layout>
        <c:manualLayout>
          <c:xMode val="edge"/>
          <c:yMode val="edge"/>
          <c:x val="7.1249353155899914E-3"/>
          <c:y val="5.0749649444504372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57704088054713"/>
          <c:y val="5.0925925925925923E-2"/>
          <c:w val="0.82424622499452227"/>
          <c:h val="0.8416746864975212"/>
        </c:manualLayout>
      </c:layout>
      <c:lineChart>
        <c:grouping val="standard"/>
        <c:varyColors val="0"/>
        <c:ser>
          <c:idx val="1"/>
          <c:order val="0"/>
          <c:tx>
            <c:strRef>
              <c:f>Indicators!$D$58</c:f>
              <c:strCache>
                <c:ptCount val="1"/>
                <c:pt idx="0">
                  <c:v>Rural Area Potential Removed</c:v>
                </c:pt>
              </c:strCache>
            </c:strRef>
          </c:tx>
          <c:spPr>
            <a:ln w="19050" cap="rnd">
              <a:solidFill>
                <a:schemeClr val="accent6">
                  <a:lumMod val="75000"/>
                </a:schemeClr>
              </a:solidFill>
              <a:round/>
            </a:ln>
            <a:effectLst/>
          </c:spPr>
          <c:marker>
            <c:symbol val="circle"/>
            <c:size val="5"/>
            <c:spPr>
              <a:solidFill>
                <a:schemeClr val="accent6">
                  <a:lumMod val="75000"/>
                </a:schemeClr>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Indicators!$I$58:$AK$58</c:f>
              <c:numCache>
                <c:formatCode>#,##0</c:formatCode>
                <c:ptCount val="29"/>
                <c:pt idx="4">
                  <c:v>31</c:v>
                </c:pt>
                <c:pt idx="5">
                  <c:v>89</c:v>
                </c:pt>
                <c:pt idx="6">
                  <c:v>5</c:v>
                </c:pt>
                <c:pt idx="7">
                  <c:v>2</c:v>
                </c:pt>
                <c:pt idx="8">
                  <c:v>1</c:v>
                </c:pt>
                <c:pt idx="9">
                  <c:v>1</c:v>
                </c:pt>
                <c:pt idx="10">
                  <c:v>28</c:v>
                </c:pt>
                <c:pt idx="11">
                  <c:v>10</c:v>
                </c:pt>
                <c:pt idx="12">
                  <c:v>14</c:v>
                </c:pt>
                <c:pt idx="13">
                  <c:v>91</c:v>
                </c:pt>
                <c:pt idx="14">
                  <c:v>1</c:v>
                </c:pt>
                <c:pt idx="15">
                  <c:v>3</c:v>
                </c:pt>
                <c:pt idx="16">
                  <c:v>6</c:v>
                </c:pt>
                <c:pt idx="17">
                  <c:v>0</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0-F768-4ABD-A9D9-CB51FF129B15}"/>
            </c:ext>
          </c:extLst>
        </c:ser>
        <c:ser>
          <c:idx val="0"/>
          <c:order val="1"/>
          <c:tx>
            <c:strRef>
              <c:f>Indicators!$D$60</c:f>
              <c:strCache>
                <c:ptCount val="1"/>
                <c:pt idx="0">
                  <c:v>Rural Area Parcels Created</c:v>
                </c:pt>
              </c:strCache>
            </c:strRef>
          </c:tx>
          <c:spPr>
            <a:ln w="19050" cap="rnd">
              <a:solidFill>
                <a:schemeClr val="accent2"/>
              </a:solidFill>
              <a:round/>
            </a:ln>
            <a:effectLst/>
          </c:spPr>
          <c:marker>
            <c:symbol val="circle"/>
            <c:size val="5"/>
            <c:spPr>
              <a:solidFill>
                <a:schemeClr val="accent2"/>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Indicators!$I$60:$AK$60</c:f>
              <c:numCache>
                <c:formatCode>#,##0</c:formatCode>
                <c:ptCount val="29"/>
                <c:pt idx="8">
                  <c:v>27</c:v>
                </c:pt>
                <c:pt idx="9">
                  <c:v>1</c:v>
                </c:pt>
                <c:pt idx="10">
                  <c:v>4</c:v>
                </c:pt>
                <c:pt idx="11">
                  <c:v>11</c:v>
                </c:pt>
                <c:pt idx="12">
                  <c:v>0</c:v>
                </c:pt>
                <c:pt idx="13">
                  <c:v>3</c:v>
                </c:pt>
                <c:pt idx="14">
                  <c:v>4</c:v>
                </c:pt>
                <c:pt idx="15">
                  <c:v>60</c:v>
                </c:pt>
                <c:pt idx="16">
                  <c:v>4</c:v>
                </c:pt>
                <c:pt idx="17">
                  <c:v>5</c:v>
                </c:pt>
                <c:pt idx="18">
                  <c:v>2</c:v>
                </c:pt>
                <c:pt idx="19">
                  <c:v>2</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F768-4ABD-A9D9-CB51FF129B15}"/>
            </c:ext>
          </c:extLst>
        </c:ser>
        <c:dLbls>
          <c:showLegendKey val="0"/>
          <c:showVal val="0"/>
          <c:showCatName val="0"/>
          <c:showSerName val="0"/>
          <c:showPercent val="0"/>
          <c:showBubbleSize val="0"/>
        </c:dLbls>
        <c:marker val="1"/>
        <c:smooth val="0"/>
        <c:axId val="820790392"/>
        <c:axId val="820794232"/>
      </c:lineChart>
      <c:lineChart>
        <c:grouping val="standard"/>
        <c:varyColors val="0"/>
        <c:ser>
          <c:idx val="2"/>
          <c:order val="2"/>
          <c:tx>
            <c:strRef>
              <c:f>Indicators!$D$50</c:f>
              <c:strCache>
                <c:ptCount val="1"/>
                <c:pt idx="0">
                  <c:v>Rural Area Acres Conserved</c:v>
                </c:pt>
              </c:strCache>
            </c:strRef>
          </c:tx>
          <c:spPr>
            <a:ln w="19050" cap="rnd">
              <a:solidFill>
                <a:schemeClr val="accent1">
                  <a:lumMod val="75000"/>
                </a:schemeClr>
              </a:solidFill>
              <a:prstDash val="sysDash"/>
              <a:round/>
            </a:ln>
            <a:effectLst/>
          </c:spPr>
          <c:marker>
            <c:symbol val="square"/>
            <c:size val="5"/>
            <c:spPr>
              <a:solidFill>
                <a:schemeClr val="accent1">
                  <a:lumMod val="75000"/>
                </a:schemeClr>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Indicators!$I$50:$AK$50</c:f>
              <c:numCache>
                <c:formatCode>#,##0</c:formatCode>
                <c:ptCount val="29"/>
                <c:pt idx="4">
                  <c:v>507</c:v>
                </c:pt>
                <c:pt idx="5">
                  <c:v>2463.7800000000002</c:v>
                </c:pt>
                <c:pt idx="6">
                  <c:v>80.91</c:v>
                </c:pt>
                <c:pt idx="7">
                  <c:v>81.539999999999992</c:v>
                </c:pt>
                <c:pt idx="8">
                  <c:v>125.47999999999999</c:v>
                </c:pt>
                <c:pt idx="9">
                  <c:v>21.29</c:v>
                </c:pt>
                <c:pt idx="10">
                  <c:v>473.79999999999995</c:v>
                </c:pt>
                <c:pt idx="11">
                  <c:v>259.38</c:v>
                </c:pt>
                <c:pt idx="12">
                  <c:v>322.08</c:v>
                </c:pt>
                <c:pt idx="13">
                  <c:v>425.3</c:v>
                </c:pt>
                <c:pt idx="14">
                  <c:v>105.5</c:v>
                </c:pt>
                <c:pt idx="15">
                  <c:v>113.4</c:v>
                </c:pt>
                <c:pt idx="16">
                  <c:v>191</c:v>
                </c:pt>
                <c:pt idx="17">
                  <c:v>1.2529999999999999</c:v>
                </c:pt>
                <c:pt idx="18">
                  <c:v>3.47</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2-F768-4ABD-A9D9-CB51FF129B15}"/>
            </c:ext>
          </c:extLst>
        </c:ser>
        <c:ser>
          <c:idx val="3"/>
          <c:order val="3"/>
          <c:tx>
            <c:strRef>
              <c:f>Indicators!$D$64</c:f>
              <c:strCache>
                <c:ptCount val="1"/>
                <c:pt idx="0">
                  <c:v>Rural Area Acres Subdivided</c:v>
                </c:pt>
              </c:strCache>
            </c:strRef>
          </c:tx>
          <c:spPr>
            <a:ln w="19050" cap="rnd">
              <a:solidFill>
                <a:schemeClr val="accent4"/>
              </a:solidFill>
              <a:prstDash val="sysDash"/>
              <a:round/>
            </a:ln>
            <a:effectLst/>
          </c:spPr>
          <c:marker>
            <c:symbol val="square"/>
            <c:size val="5"/>
            <c:spPr>
              <a:solidFill>
                <a:schemeClr val="accent4"/>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Indicators!$I$64:$AK$64</c:f>
              <c:numCache>
                <c:formatCode>#,##0</c:formatCode>
                <c:ptCount val="29"/>
                <c:pt idx="8">
                  <c:v>152.51</c:v>
                </c:pt>
                <c:pt idx="9">
                  <c:v>33.64</c:v>
                </c:pt>
                <c:pt idx="10">
                  <c:v>37.03</c:v>
                </c:pt>
                <c:pt idx="11">
                  <c:v>82.490000000000009</c:v>
                </c:pt>
                <c:pt idx="12">
                  <c:v>0</c:v>
                </c:pt>
                <c:pt idx="13">
                  <c:v>111.39</c:v>
                </c:pt>
                <c:pt idx="14">
                  <c:v>63.9</c:v>
                </c:pt>
                <c:pt idx="15">
                  <c:v>1045.7499999999998</c:v>
                </c:pt>
                <c:pt idx="16">
                  <c:v>281.37</c:v>
                </c:pt>
                <c:pt idx="17">
                  <c:v>148.78</c:v>
                </c:pt>
                <c:pt idx="18">
                  <c:v>152.85</c:v>
                </c:pt>
                <c:pt idx="19">
                  <c:v>26.63</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4-F768-4ABD-A9D9-CB51FF129B15}"/>
            </c:ext>
          </c:extLst>
        </c:ser>
        <c:dLbls>
          <c:showLegendKey val="0"/>
          <c:showVal val="0"/>
          <c:showCatName val="0"/>
          <c:showSerName val="0"/>
          <c:showPercent val="0"/>
          <c:showBubbleSize val="0"/>
        </c:dLbls>
        <c:marker val="1"/>
        <c:smooth val="0"/>
        <c:axId val="820799672"/>
        <c:axId val="82079711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Residential Units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valAx>
        <c:axId val="82079711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Acres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9672"/>
        <c:crosses val="max"/>
        <c:crossBetween val="between"/>
      </c:valAx>
      <c:catAx>
        <c:axId val="820799672"/>
        <c:scaling>
          <c:orientation val="minMax"/>
        </c:scaling>
        <c:delete val="1"/>
        <c:axPos val="b"/>
        <c:numFmt formatCode="General" sourceLinked="1"/>
        <c:majorTickMark val="out"/>
        <c:minorTickMark val="none"/>
        <c:tickLblPos val="nextTo"/>
        <c:crossAx val="820797112"/>
        <c:crosses val="autoZero"/>
        <c:auto val="1"/>
        <c:lblAlgn val="ctr"/>
        <c:lblOffset val="100"/>
        <c:noMultiLvlLbl val="0"/>
      </c:catAx>
      <c:spPr>
        <a:noFill/>
        <a:ln>
          <a:noFill/>
        </a:ln>
        <a:effectLst/>
      </c:spPr>
    </c:plotArea>
    <c:legend>
      <c:legendPos val="l"/>
      <c:layout>
        <c:manualLayout>
          <c:xMode val="edge"/>
          <c:yMode val="edge"/>
          <c:x val="2.8781769951935408E-2"/>
          <c:y val="0.20658147835326812"/>
          <c:w val="6.9875908495452291E-2"/>
          <c:h val="0.308221335346780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012416156313793"/>
          <c:y val="5.0925925925925923E-2"/>
          <c:w val="0.80565317876932052"/>
          <c:h val="0.8416746864975212"/>
        </c:manualLayout>
      </c:layout>
      <c:barChart>
        <c:barDir val="col"/>
        <c:grouping val="clustered"/>
        <c:varyColors val="0"/>
        <c:ser>
          <c:idx val="0"/>
          <c:order val="0"/>
          <c:tx>
            <c:v>Total Electricity Usage</c:v>
          </c:tx>
          <c:spPr>
            <a:solidFill>
              <a:schemeClr val="accent1">
                <a:lumMod val="75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Indicators!$I$1111:$AK$1111</c:f>
              <c:numCache>
                <c:formatCode>#,##0</c:formatCode>
                <c:ptCount val="29"/>
                <c:pt idx="5">
                  <c:v>462793490</c:v>
                </c:pt>
                <c:pt idx="6">
                  <c:v>490743341</c:v>
                </c:pt>
                <c:pt idx="7">
                  <c:v>488732400</c:v>
                </c:pt>
                <c:pt idx="8">
                  <c:v>490718178</c:v>
                </c:pt>
                <c:pt idx="9">
                  <c:v>495233183</c:v>
                </c:pt>
                <c:pt idx="10">
                  <c:v>476834690</c:v>
                </c:pt>
                <c:pt idx="11">
                  <c:v>513432968</c:v>
                </c:pt>
                <c:pt idx="12">
                  <c:v>491460908</c:v>
                </c:pt>
                <c:pt idx="13">
                  <c:v>472200340</c:v>
                </c:pt>
                <c:pt idx="14">
                  <c:v>495687784</c:v>
                </c:pt>
                <c:pt idx="15">
                  <c:v>512415019</c:v>
                </c:pt>
                <c:pt idx="16">
                  <c:v>459728772</c:v>
                </c:pt>
                <c:pt idx="17">
                  <c:v>421989597</c:v>
                </c:pt>
                <c:pt idx="18">
                  <c:v>419371453</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2-AB92-4E3E-A492-9216ACF52666}"/>
            </c:ext>
          </c:extLst>
        </c:ser>
        <c:dLbls>
          <c:showLegendKey val="0"/>
          <c:showVal val="0"/>
          <c:showCatName val="0"/>
          <c:showSerName val="0"/>
          <c:showPercent val="0"/>
          <c:showBubbleSize val="0"/>
        </c:dLbls>
        <c:gapWidth val="150"/>
        <c:axId val="820790392"/>
        <c:axId val="820794232"/>
      </c:barChart>
      <c:lineChart>
        <c:grouping val="standard"/>
        <c:varyColors val="0"/>
        <c:ser>
          <c:idx val="1"/>
          <c:order val="1"/>
          <c:tx>
            <c:v>Per Capita (Summer)</c:v>
          </c:tx>
          <c:spPr>
            <a:ln w="19050" cap="rnd">
              <a:solidFill>
                <a:schemeClr val="accent6"/>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Indicators!$I$1117:$AK$1117</c:f>
              <c:numCache>
                <c:formatCode>General</c:formatCode>
                <c:ptCount val="29"/>
                <c:pt idx="8" formatCode="#,##0">
                  <c:v>2000.1940907108365</c:v>
                </c:pt>
                <c:pt idx="9" formatCode="#,##0">
                  <c:v>2039.8410676796389</c:v>
                </c:pt>
                <c:pt idx="10" formatCode="#,##0">
                  <c:v>1950.4426277322787</c:v>
                </c:pt>
                <c:pt idx="11" formatCode="#,##0">
                  <c:v>1920.2917253525254</c:v>
                </c:pt>
                <c:pt idx="12" formatCode="#,##0">
                  <c:v>1895.0146406929173</c:v>
                </c:pt>
                <c:pt idx="13" formatCode="#,##0">
                  <c:v>1695.7239782886084</c:v>
                </c:pt>
                <c:pt idx="14" formatCode="#,##0">
                  <c:v>1717.7139730860542</c:v>
                </c:pt>
                <c:pt idx="15" formatCode="#,##0">
                  <c:v>1678.3131529003583</c:v>
                </c:pt>
                <c:pt idx="16" formatCode="#,##0">
                  <c:v>1418.3192146956324</c:v>
                </c:pt>
                <c:pt idx="17" formatCode="#,##0">
                  <c:v>1359.2318405331193</c:v>
                </c:pt>
                <c:pt idx="18" formatCode="#,##0">
                  <c:v>0</c:v>
                </c:pt>
                <c:pt idx="19" formatCode="#,##0">
                  <c:v>0</c:v>
                </c:pt>
                <c:pt idx="20" formatCode="#,##0">
                  <c:v>0</c:v>
                </c:pt>
                <c:pt idx="21" formatCode="#,##0">
                  <c:v>0</c:v>
                </c:pt>
                <c:pt idx="22" formatCode="#,##0">
                  <c:v>0</c:v>
                </c:pt>
                <c:pt idx="23" formatCode="#,##0">
                  <c:v>0</c:v>
                </c:pt>
                <c:pt idx="24" formatCode="#,##0">
                  <c:v>0</c:v>
                </c:pt>
                <c:pt idx="25" formatCode="#,##0">
                  <c:v>0</c:v>
                </c:pt>
                <c:pt idx="26" formatCode="#,##0">
                  <c:v>0</c:v>
                </c:pt>
                <c:pt idx="27" formatCode="#,##0">
                  <c:v>0</c:v>
                </c:pt>
                <c:pt idx="28" formatCode="#,##0">
                  <c:v>0</c:v>
                </c:pt>
              </c:numCache>
            </c:numRef>
          </c:val>
          <c:smooth val="0"/>
          <c:extLst>
            <c:ext xmlns:c16="http://schemas.microsoft.com/office/drawing/2014/chart" uri="{C3380CC4-5D6E-409C-BE32-E72D297353CC}">
              <c16:uniqueId val="{00000003-AB92-4E3E-A492-9216ACF52666}"/>
            </c:ext>
          </c:extLst>
        </c:ser>
        <c:ser>
          <c:idx val="2"/>
          <c:order val="2"/>
          <c:tx>
            <c:v>Per Capita (Winter)</c:v>
          </c:tx>
          <c:spPr>
            <a:ln w="19050" cap="rnd">
              <a:solidFill>
                <a:schemeClr val="accent5"/>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Indicators!$I$1118:$AK$1118</c:f>
              <c:numCache>
                <c:formatCode>General</c:formatCode>
                <c:ptCount val="29"/>
                <c:pt idx="8" formatCode="#,##0">
                  <c:v>5595.5178464916135</c:v>
                </c:pt>
                <c:pt idx="9" formatCode="#,##0">
                  <c:v>5689.1028826906304</c:v>
                </c:pt>
                <c:pt idx="10" formatCode="#,##0">
                  <c:v>5367.2428452713611</c:v>
                </c:pt>
                <c:pt idx="11" formatCode="#,##0">
                  <c:v>5562.2293334515243</c:v>
                </c:pt>
                <c:pt idx="12" formatCode="#,##0">
                  <c:v>4901.9805545791578</c:v>
                </c:pt>
                <c:pt idx="13" formatCode="#,##0">
                  <c:v>4917.6658561745253</c:v>
                </c:pt>
                <c:pt idx="14" formatCode="#,##0">
                  <c:v>5084.9799783511435</c:v>
                </c:pt>
                <c:pt idx="15" formatCode="#,##0">
                  <c:v>5038.5885788750229</c:v>
                </c:pt>
                <c:pt idx="16" formatCode="#,##0">
                  <c:v>4670.3133146202499</c:v>
                </c:pt>
                <c:pt idx="17" formatCode="#,##0">
                  <c:v>3896.9966504506847</c:v>
                </c:pt>
                <c:pt idx="18" formatCode="#,##0">
                  <c:v>0</c:v>
                </c:pt>
                <c:pt idx="19" formatCode="#,##0">
                  <c:v>0</c:v>
                </c:pt>
                <c:pt idx="20" formatCode="#,##0">
                  <c:v>0</c:v>
                </c:pt>
                <c:pt idx="21" formatCode="#,##0">
                  <c:v>0</c:v>
                </c:pt>
                <c:pt idx="22" formatCode="#,##0">
                  <c:v>0</c:v>
                </c:pt>
                <c:pt idx="23" formatCode="#,##0">
                  <c:v>0</c:v>
                </c:pt>
                <c:pt idx="24" formatCode="#,##0">
                  <c:v>0</c:v>
                </c:pt>
                <c:pt idx="25" formatCode="#,##0">
                  <c:v>0</c:v>
                </c:pt>
                <c:pt idx="26" formatCode="#,##0">
                  <c:v>0</c:v>
                </c:pt>
                <c:pt idx="27" formatCode="#,##0">
                  <c:v>0</c:v>
                </c:pt>
                <c:pt idx="28" formatCode="#,##0">
                  <c:v>0</c:v>
                </c:pt>
              </c:numCache>
            </c:numRef>
          </c:val>
          <c:smooth val="0"/>
          <c:extLst>
            <c:ext xmlns:c16="http://schemas.microsoft.com/office/drawing/2014/chart" uri="{C3380CC4-5D6E-409C-BE32-E72D297353CC}">
              <c16:uniqueId val="{00000004-AB92-4E3E-A492-9216ACF52666}"/>
            </c:ext>
          </c:extLst>
        </c:ser>
        <c:ser>
          <c:idx val="3"/>
          <c:order val="3"/>
          <c:tx>
            <c:v>Per Capita (Shoulder)</c:v>
          </c:tx>
          <c:spPr>
            <a:ln w="19050" cap="rnd">
              <a:solidFill>
                <a:srgbClr val="C00000"/>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Indicators!$I$1119:$AK$1119</c:f>
              <c:numCache>
                <c:formatCode>General</c:formatCode>
                <c:ptCount val="29"/>
                <c:pt idx="8" formatCode="#,##0">
                  <c:v>4096.9359683719395</c:v>
                </c:pt>
                <c:pt idx="9" formatCode="#,##0">
                  <c:v>4159.3204847540619</c:v>
                </c:pt>
                <c:pt idx="10" formatCode="#,##0">
                  <c:v>3588.8043672039807</c:v>
                </c:pt>
                <c:pt idx="11" formatCode="#,##0">
                  <c:v>4181.2740821531697</c:v>
                </c:pt>
                <c:pt idx="12" formatCode="#,##0">
                  <c:v>3689.213358465825</c:v>
                </c:pt>
                <c:pt idx="13" formatCode="#,##0">
                  <c:v>3312.1925229624758</c:v>
                </c:pt>
                <c:pt idx="14" formatCode="#,##0">
                  <c:v>3325.7706119614954</c:v>
                </c:pt>
                <c:pt idx="15" formatCode="#,##0">
                  <c:v>3632.2991013297055</c:v>
                </c:pt>
                <c:pt idx="16" formatCode="#,##0">
                  <c:v>3158.9991744353365</c:v>
                </c:pt>
                <c:pt idx="17" formatCode="#,##0">
                  <c:v>2971.6971669432833</c:v>
                </c:pt>
                <c:pt idx="18" formatCode="#,##0">
                  <c:v>0</c:v>
                </c:pt>
                <c:pt idx="19" formatCode="#,##0">
                  <c:v>0</c:v>
                </c:pt>
                <c:pt idx="20" formatCode="#,##0">
                  <c:v>0</c:v>
                </c:pt>
                <c:pt idx="21" formatCode="#,##0">
                  <c:v>0</c:v>
                </c:pt>
                <c:pt idx="22" formatCode="#,##0">
                  <c:v>0</c:v>
                </c:pt>
                <c:pt idx="23" formatCode="#,##0">
                  <c:v>0</c:v>
                </c:pt>
                <c:pt idx="24" formatCode="#,##0">
                  <c:v>0</c:v>
                </c:pt>
                <c:pt idx="25" formatCode="#,##0">
                  <c:v>0</c:v>
                </c:pt>
                <c:pt idx="26" formatCode="#,##0">
                  <c:v>0</c:v>
                </c:pt>
                <c:pt idx="27" formatCode="#,##0">
                  <c:v>0</c:v>
                </c:pt>
                <c:pt idx="28" formatCode="#,##0">
                  <c:v>0</c:v>
                </c:pt>
              </c:numCache>
            </c:numRef>
          </c:val>
          <c:smooth val="0"/>
          <c:extLst>
            <c:ext xmlns:c16="http://schemas.microsoft.com/office/drawing/2014/chart" uri="{C3380CC4-5D6E-409C-BE32-E72D297353CC}">
              <c16:uniqueId val="{00000005-AB92-4E3E-A492-9216ACF52666}"/>
            </c:ext>
          </c:extLst>
        </c:ser>
        <c:dLbls>
          <c:showLegendKey val="0"/>
          <c:showVal val="0"/>
          <c:showCatName val="0"/>
          <c:showSerName val="0"/>
          <c:showPercent val="0"/>
          <c:showBubbleSize val="0"/>
        </c:dLbls>
        <c:marker val="1"/>
        <c:smooth val="0"/>
        <c:axId val="831167224"/>
        <c:axId val="831169144"/>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Electricity Use (kWh)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valAx>
        <c:axId val="83116914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Electricity per Capita (Effective Population) (kWh/person)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167224"/>
        <c:crosses val="max"/>
        <c:crossBetween val="between"/>
      </c:valAx>
      <c:catAx>
        <c:axId val="831167224"/>
        <c:scaling>
          <c:orientation val="minMax"/>
        </c:scaling>
        <c:delete val="1"/>
        <c:axPos val="b"/>
        <c:numFmt formatCode="General" sourceLinked="1"/>
        <c:majorTickMark val="out"/>
        <c:minorTickMark val="none"/>
        <c:tickLblPos val="nextTo"/>
        <c:crossAx val="831169144"/>
        <c:crosses val="autoZero"/>
        <c:auto val="1"/>
        <c:lblAlgn val="ctr"/>
        <c:lblOffset val="100"/>
        <c:noMultiLvlLbl val="0"/>
      </c:catAx>
      <c:spPr>
        <a:noFill/>
        <a:ln>
          <a:noFill/>
        </a:ln>
        <a:effectLst/>
      </c:spPr>
    </c:plotArea>
    <c:legend>
      <c:legendPos val="l"/>
      <c:layout>
        <c:manualLayout>
          <c:xMode val="edge"/>
          <c:yMode val="edge"/>
          <c:x val="3.6781609195402297E-3"/>
          <c:y val="0.11892279090113737"/>
          <c:w val="5.5556726461823851E-2"/>
          <c:h val="0.3050868810890164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the Workforce Living Locally</a:t>
            </a:r>
          </a:p>
        </c:rich>
      </c:tx>
      <c:layout>
        <c:manualLayout>
          <c:xMode val="edge"/>
          <c:yMode val="edge"/>
          <c:x val="9.9597201967244302E-3"/>
          <c:y val="4.954954954954955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64327414992074"/>
          <c:y val="5.0925925925925923E-2"/>
          <c:w val="0.8244863881883232"/>
          <c:h val="0.8416746864975212"/>
        </c:manualLayout>
      </c:layout>
      <c:lineChart>
        <c:grouping val="standard"/>
        <c:varyColors val="0"/>
        <c:ser>
          <c:idx val="0"/>
          <c:order val="0"/>
          <c:tx>
            <c:v>2005 Benchmark (Past Indicator Reports</c:v>
          </c:tx>
          <c:spPr>
            <a:ln w="19050" cap="rnd">
              <a:solidFill>
                <a:srgbClr val="C00000"/>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Indicators!$I$1409:$AK$1409</c:f>
              <c:numCache>
                <c:formatCode>0.0%</c:formatCode>
                <c:ptCount val="29"/>
                <c:pt idx="0">
                  <c:v>0.72090433734740789</c:v>
                </c:pt>
                <c:pt idx="1">
                  <c:v>0.71303315977141968</c:v>
                </c:pt>
                <c:pt idx="2">
                  <c:v>0.70009990170411596</c:v>
                </c:pt>
                <c:pt idx="3">
                  <c:v>0.68</c:v>
                </c:pt>
                <c:pt idx="4">
                  <c:v>0.65824471031450593</c:v>
                </c:pt>
                <c:pt idx="5">
                  <c:v>0.64841754418231101</c:v>
                </c:pt>
                <c:pt idx="6">
                  <c:v>0.62432373282392617</c:v>
                </c:pt>
                <c:pt idx="7">
                  <c:v>0.60150581028758121</c:v>
                </c:pt>
                <c:pt idx="8">
                  <c:v>0.59564240268148294</c:v>
                </c:pt>
                <c:pt idx="9">
                  <c:v>0.59102606830103188</c:v>
                </c:pt>
                <c:pt idx="10">
                  <c:v>0.58718746547555534</c:v>
                </c:pt>
                <c:pt idx="11">
                  <c:v>0.57946886618843596</c:v>
                </c:pt>
                <c:pt idx="12">
                  <c:v>0.5734012093534061</c:v>
                </c:pt>
                <c:pt idx="13">
                  <c:v>0.573133503277658</c:v>
                </c:pt>
                <c:pt idx="14">
                  <c:v>0.57175463977221164</c:v>
                </c:pt>
                <c:pt idx="15">
                  <c:v>0.57091926006207483</c:v>
                </c:pt>
                <c:pt idx="16">
                  <c:v>0.55455543563063925</c:v>
                </c:pt>
                <c:pt idx="17">
                  <c:v>0.54340734942044422</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0-E1DB-4420-845A-317529302A95}"/>
            </c:ext>
          </c:extLst>
        </c:ser>
        <c:ser>
          <c:idx val="1"/>
          <c:order val="1"/>
          <c:tx>
            <c:v>2014 Benchmark (Housing Action Plan)</c:v>
          </c:tx>
          <c:spPr>
            <a:ln w="19050" cap="rnd">
              <a:solidFill>
                <a:schemeClr val="accent1">
                  <a:lumMod val="75000"/>
                </a:schemeClr>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Indicators!$I$1411:$AK$1411</c:f>
              <c:numCache>
                <c:formatCode>0.0%</c:formatCode>
                <c:ptCount val="29"/>
                <c:pt idx="0">
                  <c:v>0.77949031474734165</c:v>
                </c:pt>
                <c:pt idx="1">
                  <c:v>0.77097946751244351</c:v>
                </c:pt>
                <c:pt idx="2">
                  <c:v>0.75699515797328076</c:v>
                </c:pt>
                <c:pt idx="3">
                  <c:v>0.73526179073709286</c:v>
                </c:pt>
                <c:pt idx="4">
                  <c:v>0.71173850654273907</c:v>
                </c:pt>
                <c:pt idx="5">
                  <c:v>0.70111271276593234</c:v>
                </c:pt>
                <c:pt idx="6">
                  <c:v>0.67506086146439148</c:v>
                </c:pt>
                <c:pt idx="7">
                  <c:v>0.65038858707472491</c:v>
                </c:pt>
                <c:pt idx="8">
                  <c:v>0.64404867593313475</c:v>
                </c:pt>
                <c:pt idx="9">
                  <c:v>0.63905718434017644</c:v>
                </c:pt>
                <c:pt idx="10">
                  <c:v>0.63490662847637003</c:v>
                </c:pt>
                <c:pt idx="11">
                  <c:v>0.62656075916191512</c:v>
                </c:pt>
                <c:pt idx="12">
                  <c:v>0.62</c:v>
                </c:pt>
                <c:pt idx="13">
                  <c:v>0.61971053816375632</c:v>
                </c:pt>
                <c:pt idx="14">
                  <c:v>0.61821961808993786</c:v>
                </c:pt>
                <c:pt idx="15">
                  <c:v>0.61731634929343693</c:v>
                </c:pt>
                <c:pt idx="16">
                  <c:v>0.59962268038937105</c:v>
                </c:pt>
                <c:pt idx="17">
                  <c:v>0.58756861887437195</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E1DB-4420-845A-317529302A95}"/>
            </c:ext>
          </c:extLst>
        </c:ser>
        <c:dLbls>
          <c:showLegendKey val="0"/>
          <c:showVal val="0"/>
          <c:showCatName val="0"/>
          <c:showSerName val="0"/>
          <c:showPercent val="0"/>
          <c:showBubbleSize val="0"/>
        </c:dLbls>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1"/>
      </c:catAx>
      <c:valAx>
        <c:axId val="820794232"/>
        <c:scaling>
          <c:orientation val="minMax"/>
          <c:max val="0.8"/>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of the Workforce Living Locally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majorUnit val="5.000000000000001E-2"/>
      </c:valAx>
      <c:spPr>
        <a:noFill/>
        <a:ln>
          <a:noFill/>
        </a:ln>
        <a:effectLst/>
      </c:spPr>
    </c:plotArea>
    <c:legend>
      <c:legendPos val="l"/>
      <c:layout>
        <c:manualLayout>
          <c:xMode val="edge"/>
          <c:yMode val="edge"/>
          <c:x val="2.1215783860646993E-2"/>
          <c:y val="0.20000390153933462"/>
          <c:w val="8.40386544287723E-2"/>
          <c:h val="0.152028091083209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Wildlife Vehicle Collisions</a:t>
            </a:r>
          </a:p>
        </c:rich>
      </c:tx>
      <c:layout>
        <c:manualLayout>
          <c:xMode val="edge"/>
          <c:yMode val="edge"/>
          <c:x val="3.7944078533020183E-2"/>
          <c:y val="5.4237288135593219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8006238377686"/>
          <c:y val="5.0925925925925923E-2"/>
          <c:w val="0.82419893389614962"/>
          <c:h val="0.8416746864975212"/>
        </c:manualLayout>
      </c:layout>
      <c:lineChart>
        <c:grouping val="standard"/>
        <c:varyColors val="0"/>
        <c:ser>
          <c:idx val="0"/>
          <c:order val="0"/>
          <c:tx>
            <c:strRef>
              <c:f>Indicators!$C$1045</c:f>
              <c:strCache>
                <c:ptCount val="1"/>
                <c:pt idx="0">
                  <c:v>Single Year Count</c:v>
                </c:pt>
              </c:strCache>
            </c:strRef>
          </c:tx>
          <c:spPr>
            <a:ln w="19050" cap="rnd">
              <a:noFill/>
              <a:round/>
            </a:ln>
            <a:effectLst/>
          </c:spPr>
          <c:marker>
            <c:symbol val="circle"/>
            <c:size val="5"/>
            <c:spPr>
              <a:solidFill>
                <a:schemeClr val="accent6">
                  <a:lumMod val="50000"/>
                </a:schemeClr>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Indicators!$I$1045:$AK$1045</c:f>
              <c:numCache>
                <c:formatCode>#,##0</c:formatCode>
                <c:ptCount val="29"/>
                <c:pt idx="0">
                  <c:v>0</c:v>
                </c:pt>
                <c:pt idx="1">
                  <c:v>129</c:v>
                </c:pt>
                <c:pt idx="2">
                  <c:v>251</c:v>
                </c:pt>
                <c:pt idx="3">
                  <c:v>146</c:v>
                </c:pt>
                <c:pt idx="4">
                  <c:v>264</c:v>
                </c:pt>
                <c:pt idx="5">
                  <c:v>197</c:v>
                </c:pt>
                <c:pt idx="6">
                  <c:v>220</c:v>
                </c:pt>
                <c:pt idx="7">
                  <c:v>179</c:v>
                </c:pt>
                <c:pt idx="8">
                  <c:v>136</c:v>
                </c:pt>
                <c:pt idx="9">
                  <c:v>371</c:v>
                </c:pt>
                <c:pt idx="10">
                  <c:v>206</c:v>
                </c:pt>
                <c:pt idx="11">
                  <c:v>171</c:v>
                </c:pt>
                <c:pt idx="12">
                  <c:v>213</c:v>
                </c:pt>
                <c:pt idx="13">
                  <c:v>277</c:v>
                </c:pt>
                <c:pt idx="14">
                  <c:v>284</c:v>
                </c:pt>
                <c:pt idx="15">
                  <c:v>358</c:v>
                </c:pt>
                <c:pt idx="16">
                  <c:v>181</c:v>
                </c:pt>
                <c:pt idx="17">
                  <c:v>267</c:v>
                </c:pt>
                <c:pt idx="18">
                  <c:v>219</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0-B621-45E3-965B-86D8FF6F9324}"/>
            </c:ext>
          </c:extLst>
        </c:ser>
        <c:ser>
          <c:idx val="1"/>
          <c:order val="1"/>
          <c:tx>
            <c:strRef>
              <c:f>Indicators!$C$1046</c:f>
              <c:strCache>
                <c:ptCount val="1"/>
                <c:pt idx="0">
                  <c:v>3-Year Average</c:v>
                </c:pt>
              </c:strCache>
            </c:strRef>
          </c:tx>
          <c:spPr>
            <a:ln w="19050" cap="rnd">
              <a:solidFill>
                <a:schemeClr val="accent3"/>
              </a:solidFill>
              <a:prstDash val="sysDot"/>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Indicators!$I$1046:$AK$1046</c:f>
              <c:numCache>
                <c:formatCode>#,##0</c:formatCode>
                <c:ptCount val="29"/>
                <c:pt idx="3">
                  <c:v>175.33333333333334</c:v>
                </c:pt>
                <c:pt idx="4">
                  <c:v>220.33333333333334</c:v>
                </c:pt>
                <c:pt idx="5">
                  <c:v>202.33333333333334</c:v>
                </c:pt>
                <c:pt idx="6">
                  <c:v>227</c:v>
                </c:pt>
                <c:pt idx="7">
                  <c:v>198.66666666666666</c:v>
                </c:pt>
                <c:pt idx="8">
                  <c:v>178.33333333333334</c:v>
                </c:pt>
                <c:pt idx="9">
                  <c:v>228.66666666666666</c:v>
                </c:pt>
                <c:pt idx="10">
                  <c:v>237.66666666666666</c:v>
                </c:pt>
                <c:pt idx="11">
                  <c:v>249.33333333333334</c:v>
                </c:pt>
                <c:pt idx="12">
                  <c:v>196.66666666666666</c:v>
                </c:pt>
                <c:pt idx="13">
                  <c:v>220.33333333333334</c:v>
                </c:pt>
                <c:pt idx="14">
                  <c:v>258</c:v>
                </c:pt>
                <c:pt idx="15">
                  <c:v>306.33333333333331</c:v>
                </c:pt>
                <c:pt idx="16">
                  <c:v>274.33333333333331</c:v>
                </c:pt>
                <c:pt idx="17">
                  <c:v>268.66666666666669</c:v>
                </c:pt>
                <c:pt idx="18">
                  <c:v>222.33333333333334</c:v>
                </c:pt>
                <c:pt idx="19">
                  <c:v>162</c:v>
                </c:pt>
                <c:pt idx="20">
                  <c:v>73</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B621-45E3-965B-86D8FF6F9324}"/>
            </c:ext>
          </c:extLst>
        </c:ser>
        <c:ser>
          <c:idx val="2"/>
          <c:order val="2"/>
          <c:tx>
            <c:strRef>
              <c:f>Indicators!$C$1047</c:f>
              <c:strCache>
                <c:ptCount val="1"/>
                <c:pt idx="0">
                  <c:v>5-Year Average</c:v>
                </c:pt>
              </c:strCache>
            </c:strRef>
          </c:tx>
          <c:spPr>
            <a:ln w="19050" cap="rnd">
              <a:solidFill>
                <a:schemeClr val="accent6"/>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Indicators!$I$1047:$AK$1047</c:f>
              <c:numCache>
                <c:formatCode>#,##0</c:formatCode>
                <c:ptCount val="29"/>
                <c:pt idx="5">
                  <c:v>197.4</c:v>
                </c:pt>
                <c:pt idx="6">
                  <c:v>215.6</c:v>
                </c:pt>
                <c:pt idx="7">
                  <c:v>201.2</c:v>
                </c:pt>
                <c:pt idx="8">
                  <c:v>199.2</c:v>
                </c:pt>
                <c:pt idx="9">
                  <c:v>220.6</c:v>
                </c:pt>
                <c:pt idx="10">
                  <c:v>222.4</c:v>
                </c:pt>
                <c:pt idx="11">
                  <c:v>212.6</c:v>
                </c:pt>
                <c:pt idx="12">
                  <c:v>219.4</c:v>
                </c:pt>
                <c:pt idx="13">
                  <c:v>247.6</c:v>
                </c:pt>
                <c:pt idx="14">
                  <c:v>230.2</c:v>
                </c:pt>
                <c:pt idx="15">
                  <c:v>260.60000000000002</c:v>
                </c:pt>
                <c:pt idx="16">
                  <c:v>262.60000000000002</c:v>
                </c:pt>
                <c:pt idx="17">
                  <c:v>273.39999999999998</c:v>
                </c:pt>
                <c:pt idx="18">
                  <c:v>261.8</c:v>
                </c:pt>
                <c:pt idx="19">
                  <c:v>205</c:v>
                </c:pt>
                <c:pt idx="20">
                  <c:v>133.4</c:v>
                </c:pt>
                <c:pt idx="21">
                  <c:v>97.2</c:v>
                </c:pt>
                <c:pt idx="22">
                  <c:v>43.8</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2-B621-45E3-965B-86D8FF6F9324}"/>
            </c:ext>
          </c:extLst>
        </c:ser>
        <c:dLbls>
          <c:showLegendKey val="0"/>
          <c:showVal val="0"/>
          <c:showCatName val="0"/>
          <c:showSerName val="0"/>
          <c:showPercent val="0"/>
          <c:showBubbleSize val="0"/>
        </c:dLbls>
        <c:marker val="1"/>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Wildlife Vehicle Collisions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spPr>
        <a:noFill/>
        <a:ln>
          <a:noFill/>
        </a:ln>
        <a:effectLst/>
      </c:spPr>
    </c:plotArea>
    <c:legend>
      <c:legendPos val="l"/>
      <c:layout>
        <c:manualLayout>
          <c:xMode val="edge"/>
          <c:yMode val="edge"/>
          <c:x val="4.8233202986135801E-2"/>
          <c:y val="0.2409566261844388"/>
          <c:w val="5.0935014702109607E-2"/>
          <c:h val="0.228815160816762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START Ridership</a:t>
            </a:r>
          </a:p>
        </c:rich>
      </c:tx>
      <c:layout>
        <c:manualLayout>
          <c:xMode val="edge"/>
          <c:yMode val="edge"/>
          <c:x val="4.1180145782714332E-2"/>
          <c:y val="5.4054054054054057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011541814822607"/>
          <c:y val="5.0925925925925923E-2"/>
          <c:w val="0.80520685348208598"/>
          <c:h val="0.8416746864975212"/>
        </c:manualLayout>
      </c:layout>
      <c:barChart>
        <c:barDir val="col"/>
        <c:grouping val="clustered"/>
        <c:varyColors val="0"/>
        <c:ser>
          <c:idx val="0"/>
          <c:order val="0"/>
          <c:tx>
            <c:v>Total Annual Rides</c:v>
          </c:tx>
          <c:spPr>
            <a:solidFill>
              <a:schemeClr val="accent1">
                <a:lumMod val="75000"/>
              </a:schemeClr>
            </a:solidFill>
            <a:ln>
              <a:noFill/>
            </a:ln>
            <a:effectLst/>
          </c:spPr>
          <c:invertIfNegative val="0"/>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Indicators!$I$905:$AK$905</c:f>
              <c:numCache>
                <c:formatCode>#,##0</c:formatCode>
                <c:ptCount val="29"/>
                <c:pt idx="0">
                  <c:v>337450</c:v>
                </c:pt>
                <c:pt idx="1">
                  <c:v>363180</c:v>
                </c:pt>
                <c:pt idx="2">
                  <c:v>437923</c:v>
                </c:pt>
                <c:pt idx="3">
                  <c:v>530642</c:v>
                </c:pt>
                <c:pt idx="4">
                  <c:v>625874</c:v>
                </c:pt>
                <c:pt idx="5">
                  <c:v>712562</c:v>
                </c:pt>
                <c:pt idx="6">
                  <c:v>880898</c:v>
                </c:pt>
                <c:pt idx="7">
                  <c:v>817327</c:v>
                </c:pt>
                <c:pt idx="8">
                  <c:v>803942</c:v>
                </c:pt>
                <c:pt idx="9">
                  <c:v>838150</c:v>
                </c:pt>
                <c:pt idx="10">
                  <c:v>878833</c:v>
                </c:pt>
                <c:pt idx="11">
                  <c:v>905794</c:v>
                </c:pt>
                <c:pt idx="12">
                  <c:v>982131</c:v>
                </c:pt>
                <c:pt idx="13">
                  <c:v>936245</c:v>
                </c:pt>
                <c:pt idx="14">
                  <c:v>981599</c:v>
                </c:pt>
                <c:pt idx="15">
                  <c:v>1019392</c:v>
                </c:pt>
                <c:pt idx="16">
                  <c:v>1071652</c:v>
                </c:pt>
                <c:pt idx="17">
                  <c:v>1098706</c:v>
                </c:pt>
                <c:pt idx="18">
                  <c:v>589568</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31BF-4AFE-B202-D679B8A115FD}"/>
            </c:ext>
          </c:extLst>
        </c:ser>
        <c:dLbls>
          <c:showLegendKey val="0"/>
          <c:showVal val="0"/>
          <c:showCatName val="0"/>
          <c:showSerName val="0"/>
          <c:showPercent val="0"/>
          <c:showBubbleSize val="0"/>
        </c:dLbls>
        <c:gapWidth val="150"/>
        <c:axId val="820790392"/>
        <c:axId val="820794232"/>
      </c:barChart>
      <c:lineChart>
        <c:grouping val="standard"/>
        <c:varyColors val="0"/>
        <c:ser>
          <c:idx val="1"/>
          <c:order val="1"/>
          <c:tx>
            <c:v>Per Capita Rides per Month (Summer)</c:v>
          </c:tx>
          <c:spPr>
            <a:ln w="19050" cap="rnd">
              <a:solidFill>
                <a:schemeClr val="accent6"/>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Indicators!$I$907:$AK$907</c:f>
              <c:numCache>
                <c:formatCode>#,##0.00</c:formatCode>
                <c:ptCount val="29"/>
                <c:pt idx="8">
                  <c:v>0.85108699901639828</c:v>
                </c:pt>
                <c:pt idx="9">
                  <c:v>0.92261920048204837</c:v>
                </c:pt>
                <c:pt idx="10">
                  <c:v>0.95057306441648504</c:v>
                </c:pt>
                <c:pt idx="11">
                  <c:v>0.95860610753798037</c:v>
                </c:pt>
                <c:pt idx="12">
                  <c:v>1.0407010154143759</c:v>
                </c:pt>
                <c:pt idx="13">
                  <c:v>0.98425679773544505</c:v>
                </c:pt>
                <c:pt idx="14">
                  <c:v>1.0504989542613401</c:v>
                </c:pt>
                <c:pt idx="15">
                  <c:v>1.104890537912546</c:v>
                </c:pt>
                <c:pt idx="16">
                  <c:v>1.164978215607047</c:v>
                </c:pt>
                <c:pt idx="17">
                  <c:v>1.1725827556612765</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31BF-4AFE-B202-D679B8A115FD}"/>
            </c:ext>
          </c:extLst>
        </c:ser>
        <c:ser>
          <c:idx val="2"/>
          <c:order val="2"/>
          <c:tx>
            <c:v>Per Capita Rides per Month (Winter)</c:v>
          </c:tx>
          <c:spPr>
            <a:ln w="19050" cap="rnd">
              <a:solidFill>
                <a:schemeClr val="accent5"/>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Indicators!$I$908:$AK$908</c:f>
              <c:numCache>
                <c:formatCode>#,##0.00</c:formatCode>
                <c:ptCount val="29"/>
                <c:pt idx="8">
                  <c:v>2.8060999418862709</c:v>
                </c:pt>
                <c:pt idx="9">
                  <c:v>2.9294619413051359</c:v>
                </c:pt>
                <c:pt idx="10">
                  <c:v>2.8299535824428168</c:v>
                </c:pt>
                <c:pt idx="11">
                  <c:v>2.9261363825239481</c:v>
                </c:pt>
                <c:pt idx="12">
                  <c:v>2.994822922493432</c:v>
                </c:pt>
                <c:pt idx="13">
                  <c:v>2.9307308521609237</c:v>
                </c:pt>
                <c:pt idx="14">
                  <c:v>2.9250383430115741</c:v>
                </c:pt>
                <c:pt idx="15">
                  <c:v>2.8661039373907187</c:v>
                </c:pt>
                <c:pt idx="16">
                  <c:v>3.0295171308398308</c:v>
                </c:pt>
                <c:pt idx="17">
                  <c:v>3.0421146314598317</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2-31BF-4AFE-B202-D679B8A115FD}"/>
            </c:ext>
          </c:extLst>
        </c:ser>
        <c:ser>
          <c:idx val="3"/>
          <c:order val="3"/>
          <c:tx>
            <c:v>Per Capita Rides per Month (Shoulder)</c:v>
          </c:tx>
          <c:spPr>
            <a:ln w="19050" cap="rnd">
              <a:solidFill>
                <a:schemeClr val="accent2"/>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Indicators!$I$909:$AK$909</c:f>
              <c:numCache>
                <c:formatCode>#,##0.00</c:formatCode>
                <c:ptCount val="29"/>
                <c:pt idx="8">
                  <c:v>1.0470326784279342</c:v>
                </c:pt>
                <c:pt idx="9">
                  <c:v>1.1204519220145379</c:v>
                </c:pt>
                <c:pt idx="10">
                  <c:v>1.1185978176638836</c:v>
                </c:pt>
                <c:pt idx="11">
                  <c:v>1.1114229690313771</c:v>
                </c:pt>
                <c:pt idx="12">
                  <c:v>1.1167212742717827</c:v>
                </c:pt>
                <c:pt idx="13">
                  <c:v>0.97347625098906798</c:v>
                </c:pt>
                <c:pt idx="14">
                  <c:v>1.0021388553760777</c:v>
                </c:pt>
                <c:pt idx="15">
                  <c:v>1.1570140502328352</c:v>
                </c:pt>
                <c:pt idx="16">
                  <c:v>1.1960647463970471</c:v>
                </c:pt>
                <c:pt idx="17">
                  <c:v>1.3255255381623741</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3-31BF-4AFE-B202-D679B8A115FD}"/>
            </c:ext>
          </c:extLst>
        </c:ser>
        <c:dLbls>
          <c:showLegendKey val="0"/>
          <c:showVal val="0"/>
          <c:showCatName val="0"/>
          <c:showSerName val="0"/>
          <c:showPercent val="0"/>
          <c:showBubbleSize val="0"/>
        </c:dLbls>
        <c:marker val="1"/>
        <c:smooth val="0"/>
        <c:axId val="831177144"/>
        <c:axId val="831180664"/>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Rides per 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valAx>
        <c:axId val="83118066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Rides per Month per Person (Effective 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177144"/>
        <c:crosses val="max"/>
        <c:crossBetween val="between"/>
      </c:valAx>
      <c:catAx>
        <c:axId val="831177144"/>
        <c:scaling>
          <c:orientation val="minMax"/>
        </c:scaling>
        <c:delete val="1"/>
        <c:axPos val="b"/>
        <c:numFmt formatCode="General" sourceLinked="1"/>
        <c:majorTickMark val="out"/>
        <c:minorTickMark val="none"/>
        <c:tickLblPos val="nextTo"/>
        <c:crossAx val="831180664"/>
        <c:crosses val="autoZero"/>
        <c:auto val="1"/>
        <c:lblAlgn val="ctr"/>
        <c:lblOffset val="100"/>
        <c:noMultiLvlLbl val="0"/>
      </c:catAx>
      <c:spPr>
        <a:noFill/>
        <a:ln>
          <a:noFill/>
        </a:ln>
        <a:effectLst/>
      </c:spPr>
    </c:plotArea>
    <c:legend>
      <c:legendPos val="l"/>
      <c:layout>
        <c:manualLayout>
          <c:xMode val="edge"/>
          <c:yMode val="edge"/>
          <c:x val="2.0801832259686737E-2"/>
          <c:y val="0.2045084060438391"/>
          <c:w val="8.4770361705481023E-2"/>
          <c:h val="0.3687759807051145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Walk/Bike Modeshare</a:t>
            </a:r>
          </a:p>
        </c:rich>
      </c:tx>
      <c:layout>
        <c:manualLayout>
          <c:xMode val="edge"/>
          <c:yMode val="edge"/>
          <c:x val="3.2313079599497252E-2"/>
          <c:y val="6.3063063063063057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77535682195434"/>
          <c:y val="5.0925925925925923E-2"/>
          <c:w val="0.82422416358993167"/>
          <c:h val="0.8416746864975212"/>
        </c:manualLayout>
      </c:layout>
      <c:lineChart>
        <c:grouping val="standard"/>
        <c:varyColors val="0"/>
        <c:ser>
          <c:idx val="2"/>
          <c:order val="0"/>
          <c:tx>
            <c:v>Percentage of Trips by Walk or Bike</c:v>
          </c:tx>
          <c:spPr>
            <a:ln w="19050" cap="rnd">
              <a:solidFill>
                <a:schemeClr val="accent1">
                  <a:lumMod val="75000"/>
                </a:schemeClr>
              </a:solidFill>
              <a:round/>
            </a:ln>
            <a:effectLst/>
          </c:spPr>
          <c:marker>
            <c:symbol val="square"/>
            <c:size val="5"/>
            <c:spPr>
              <a:solidFill>
                <a:schemeClr val="accent1">
                  <a:lumMod val="75000"/>
                </a:schemeClr>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Indicators!$I$950:$AK$950</c:f>
              <c:numCache>
                <c:formatCode>#,##0</c:formatCode>
                <c:ptCount val="29"/>
                <c:pt idx="8" formatCode="0.0%">
                  <c:v>0.21190687798163468</c:v>
                </c:pt>
                <c:pt idx="9" formatCode="0.0%">
                  <c:v>0.24400224398633799</c:v>
                </c:pt>
                <c:pt idx="10" formatCode="0.0%">
                  <c:v>0.17319093451488318</c:v>
                </c:pt>
                <c:pt idx="11" formatCode="0.0%">
                  <c:v>0.161</c:v>
                </c:pt>
                <c:pt idx="12" formatCode="0.0%">
                  <c:v>0.18592522367303818</c:v>
                </c:pt>
                <c:pt idx="13" formatCode="0.0%">
                  <c:v>0.18168581430100816</c:v>
                </c:pt>
                <c:pt idx="14" formatCode="0.0%">
                  <c:v>0.19793914186377654</c:v>
                </c:pt>
                <c:pt idx="15" formatCode="0.0%">
                  <c:v>0.19168473616588325</c:v>
                </c:pt>
                <c:pt idx="16" formatCode="0.0%">
                  <c:v>0.22016226106860598</c:v>
                </c:pt>
                <c:pt idx="17" formatCode="0.0%">
                  <c:v>0.19414487659138485</c:v>
                </c:pt>
                <c:pt idx="18" formatCode="0.0%">
                  <c:v>0</c:v>
                </c:pt>
                <c:pt idx="19" formatCode="0.0%">
                  <c:v>0</c:v>
                </c:pt>
                <c:pt idx="20" formatCode="0.0%">
                  <c:v>0</c:v>
                </c:pt>
                <c:pt idx="21" formatCode="0.0%">
                  <c:v>0</c:v>
                </c:pt>
                <c:pt idx="22" formatCode="0.0%">
                  <c:v>0</c:v>
                </c:pt>
                <c:pt idx="23" formatCode="0.0%">
                  <c:v>0</c:v>
                </c:pt>
                <c:pt idx="24" formatCode="0.0%">
                  <c:v>0</c:v>
                </c:pt>
                <c:pt idx="25" formatCode="0.0%">
                  <c:v>0</c:v>
                </c:pt>
                <c:pt idx="26" formatCode="0.0%">
                  <c:v>0</c:v>
                </c:pt>
                <c:pt idx="27" formatCode="0.0%">
                  <c:v>0</c:v>
                </c:pt>
                <c:pt idx="28" formatCode="0.0%">
                  <c:v>0</c:v>
                </c:pt>
              </c:numCache>
            </c:numRef>
          </c:val>
          <c:smooth val="0"/>
          <c:extLst>
            <c:ext xmlns:c16="http://schemas.microsoft.com/office/drawing/2014/chart" uri="{C3380CC4-5D6E-409C-BE32-E72D297353CC}">
              <c16:uniqueId val="{00000002-FCDE-4591-92F8-A8828073A8F5}"/>
            </c:ext>
          </c:extLst>
        </c:ser>
        <c:dLbls>
          <c:showLegendKey val="0"/>
          <c:showVal val="0"/>
          <c:showCatName val="0"/>
          <c:showSerName val="0"/>
          <c:showPercent val="0"/>
          <c:showBubbleSize val="0"/>
        </c:dLbls>
        <c:marker val="1"/>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0"/>
      </c:catAx>
      <c:valAx>
        <c:axId val="820794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of Trips by Walk or Bike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valAx>
      <c:spPr>
        <a:noFill/>
        <a:ln>
          <a:noFill/>
        </a:ln>
        <a:effectLst/>
      </c:spPr>
    </c:plotArea>
    <c:legend>
      <c:legendPos val="l"/>
      <c:layout>
        <c:manualLayout>
          <c:xMode val="edge"/>
          <c:yMode val="edge"/>
          <c:x val="2.4647470079393292E-2"/>
          <c:y val="0.20523622047244092"/>
          <c:w val="7.5627798569259899E-2"/>
          <c:h val="7.601404554160459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the Workforce Living Locally</a:t>
            </a:r>
          </a:p>
        </c:rich>
      </c:tx>
      <c:layout>
        <c:manualLayout>
          <c:xMode val="edge"/>
          <c:yMode val="edge"/>
          <c:x val="5.8265290603338668E-3"/>
          <c:y val="4.954954954954955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039641753707494"/>
          <c:y val="5.0925925925925923E-2"/>
          <c:w val="0.8057020017339791"/>
          <c:h val="0.8416746864975212"/>
        </c:manualLayout>
      </c:layout>
      <c:lineChart>
        <c:grouping val="standard"/>
        <c:varyColors val="0"/>
        <c:ser>
          <c:idx val="2"/>
          <c:order val="0"/>
          <c:tx>
            <c:v>LAUS, QCEW, LEHD method (2021-)</c:v>
          </c:tx>
          <c:spPr>
            <a:ln w="19050" cap="rnd">
              <a:solidFill>
                <a:schemeClr val="tx1"/>
              </a:solidFill>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Indicators!$I$450:$AK$450</c:f>
              <c:numCache>
                <c:formatCode>0.0%</c:formatCode>
                <c:ptCount val="29"/>
                <c:pt idx="0">
                  <c:v>0.68432288923064488</c:v>
                </c:pt>
                <c:pt idx="1">
                  <c:v>0.67035879638354989</c:v>
                </c:pt>
                <c:pt idx="2">
                  <c:v>0.66764862656896362</c:v>
                </c:pt>
                <c:pt idx="3">
                  <c:v>0.65757717231690171</c:v>
                </c:pt>
                <c:pt idx="4">
                  <c:v>0.65619726802122758</c:v>
                </c:pt>
                <c:pt idx="5">
                  <c:v>0.63850591567064807</c:v>
                </c:pt>
                <c:pt idx="6">
                  <c:v>0.61986922148960355</c:v>
                </c:pt>
                <c:pt idx="7">
                  <c:v>0.6070706587842648</c:v>
                </c:pt>
                <c:pt idx="8">
                  <c:v>0.60664366271203063</c:v>
                </c:pt>
                <c:pt idx="9">
                  <c:v>0.61475564375302649</c:v>
                </c:pt>
                <c:pt idx="10">
                  <c:v>0.60404697305024779</c:v>
                </c:pt>
                <c:pt idx="11">
                  <c:v>0.60313494870416795</c:v>
                </c:pt>
                <c:pt idx="12">
                  <c:v>0.58546003870938867</c:v>
                </c:pt>
                <c:pt idx="13">
                  <c:v>0.59944023834450144</c:v>
                </c:pt>
                <c:pt idx="14">
                  <c:v>0.5990949108964343</c:v>
                </c:pt>
                <c:pt idx="15">
                  <c:v>0.58775208188834172</c:v>
                </c:pt>
                <c:pt idx="16">
                  <c:v>0.5819074640015377</c:v>
                </c:pt>
                <c:pt idx="17">
                  <c:v>0.58856362679079255</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E4BC-40DB-9ABC-BCC323F87520}"/>
            </c:ext>
          </c:extLst>
        </c:ser>
        <c:ser>
          <c:idx val="3"/>
          <c:order val="1"/>
          <c:tx>
            <c:v>2005 Employee Survey</c:v>
          </c:tx>
          <c:spPr>
            <a:ln w="19050" cap="rnd">
              <a:noFill/>
              <a:round/>
            </a:ln>
            <a:effectLst/>
          </c:spPr>
          <c:marker>
            <c:symbol val="circle"/>
            <c:size val="7"/>
            <c:spPr>
              <a:solidFill>
                <a:srgbClr val="C00000"/>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Indicators!$I$464:$AK$464</c:f>
              <c:numCache>
                <c:formatCode>0%</c:formatCode>
                <c:ptCount val="29"/>
                <c:pt idx="3">
                  <c:v>0.68</c:v>
                </c:pt>
              </c:numCache>
            </c:numRef>
          </c:val>
          <c:smooth val="0"/>
          <c:extLst>
            <c:ext xmlns:c16="http://schemas.microsoft.com/office/drawing/2014/chart" uri="{C3380CC4-5D6E-409C-BE32-E72D297353CC}">
              <c16:uniqueId val="{00000003-9170-478F-9D42-7DEA9A7EE4C0}"/>
            </c:ext>
          </c:extLst>
        </c:ser>
        <c:ser>
          <c:idx val="4"/>
          <c:order val="2"/>
          <c:tx>
            <c:v>2014 Employee Survey</c:v>
          </c:tx>
          <c:spPr>
            <a:ln w="19050" cap="rnd">
              <a:noFill/>
              <a:round/>
            </a:ln>
            <a:effectLst/>
          </c:spPr>
          <c:marker>
            <c:symbol val="circle"/>
            <c:size val="7"/>
            <c:spPr>
              <a:solidFill>
                <a:schemeClr val="accent1">
                  <a:lumMod val="75000"/>
                </a:schemeClr>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Indicators!$I$465:$AK$465</c:f>
              <c:numCache>
                <c:formatCode>0%</c:formatCode>
                <c:ptCount val="29"/>
                <c:pt idx="12">
                  <c:v>0.62</c:v>
                </c:pt>
              </c:numCache>
            </c:numRef>
          </c:val>
          <c:smooth val="0"/>
          <c:extLst>
            <c:ext xmlns:c16="http://schemas.microsoft.com/office/drawing/2014/chart" uri="{C3380CC4-5D6E-409C-BE32-E72D297353CC}">
              <c16:uniqueId val="{00000004-9170-478F-9D42-7DEA9A7EE4C0}"/>
            </c:ext>
          </c:extLst>
        </c:ser>
        <c:ser>
          <c:idx val="0"/>
          <c:order val="3"/>
          <c:tx>
            <c:v>2005 Benchmark Method (2013-2020)</c:v>
          </c:tx>
          <c:spPr>
            <a:ln w="19050" cap="rnd">
              <a:solidFill>
                <a:srgbClr val="C00000"/>
              </a:solidFill>
              <a:prstDash val="sysDot"/>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Indicators!$I$1409:$AK$1409</c:f>
              <c:numCache>
                <c:formatCode>0.0%</c:formatCode>
                <c:ptCount val="29"/>
                <c:pt idx="0">
                  <c:v>0.72090433734740789</c:v>
                </c:pt>
                <c:pt idx="1">
                  <c:v>0.71303315977141968</c:v>
                </c:pt>
                <c:pt idx="2">
                  <c:v>0.70009990170411596</c:v>
                </c:pt>
                <c:pt idx="3">
                  <c:v>0.68</c:v>
                </c:pt>
                <c:pt idx="4">
                  <c:v>0.65824471031450593</c:v>
                </c:pt>
                <c:pt idx="5">
                  <c:v>0.64841754418231101</c:v>
                </c:pt>
                <c:pt idx="6">
                  <c:v>0.62432373282392617</c:v>
                </c:pt>
                <c:pt idx="7">
                  <c:v>0.60150581028758121</c:v>
                </c:pt>
                <c:pt idx="8">
                  <c:v>0.59564240268148294</c:v>
                </c:pt>
                <c:pt idx="9">
                  <c:v>0.59102606830103188</c:v>
                </c:pt>
                <c:pt idx="10">
                  <c:v>0.58718746547555534</c:v>
                </c:pt>
                <c:pt idx="11">
                  <c:v>0.57946886618843596</c:v>
                </c:pt>
                <c:pt idx="12">
                  <c:v>0.5734012093534061</c:v>
                </c:pt>
                <c:pt idx="13">
                  <c:v>0.573133503277658</c:v>
                </c:pt>
                <c:pt idx="14">
                  <c:v>0.57175463977221164</c:v>
                </c:pt>
                <c:pt idx="15">
                  <c:v>0.57091926006207483</c:v>
                </c:pt>
                <c:pt idx="16">
                  <c:v>0.55455543563063925</c:v>
                </c:pt>
                <c:pt idx="17">
                  <c:v>0.54340734942044422</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0-9170-478F-9D42-7DEA9A7EE4C0}"/>
            </c:ext>
          </c:extLst>
        </c:ser>
        <c:ser>
          <c:idx val="1"/>
          <c:order val="4"/>
          <c:tx>
            <c:v>2014 Benchmark Method (2020)</c:v>
          </c:tx>
          <c:spPr>
            <a:ln w="19050" cap="rnd">
              <a:solidFill>
                <a:schemeClr val="accent1">
                  <a:lumMod val="75000"/>
                </a:schemeClr>
              </a:solidFill>
              <a:prstDash val="sysDot"/>
              <a:round/>
            </a:ln>
            <a:effectLst/>
          </c:spPr>
          <c:marker>
            <c:symbol val="none"/>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Indicators!$I$1411:$AK$1411</c:f>
              <c:numCache>
                <c:formatCode>0.0%</c:formatCode>
                <c:ptCount val="29"/>
                <c:pt idx="0">
                  <c:v>0.77949031474734165</c:v>
                </c:pt>
                <c:pt idx="1">
                  <c:v>0.77097946751244351</c:v>
                </c:pt>
                <c:pt idx="2">
                  <c:v>0.75699515797328076</c:v>
                </c:pt>
                <c:pt idx="3">
                  <c:v>0.73526179073709286</c:v>
                </c:pt>
                <c:pt idx="4">
                  <c:v>0.71173850654273907</c:v>
                </c:pt>
                <c:pt idx="5">
                  <c:v>0.70111271276593234</c:v>
                </c:pt>
                <c:pt idx="6">
                  <c:v>0.67506086146439148</c:v>
                </c:pt>
                <c:pt idx="7">
                  <c:v>0.65038858707472491</c:v>
                </c:pt>
                <c:pt idx="8">
                  <c:v>0.64404867593313475</c:v>
                </c:pt>
                <c:pt idx="9">
                  <c:v>0.63905718434017644</c:v>
                </c:pt>
                <c:pt idx="10">
                  <c:v>0.63490662847637003</c:v>
                </c:pt>
                <c:pt idx="11">
                  <c:v>0.62656075916191512</c:v>
                </c:pt>
                <c:pt idx="12">
                  <c:v>0.62</c:v>
                </c:pt>
                <c:pt idx="13">
                  <c:v>0.61971053816375632</c:v>
                </c:pt>
                <c:pt idx="14">
                  <c:v>0.61821961808993786</c:v>
                </c:pt>
                <c:pt idx="15">
                  <c:v>0.61731634929343693</c:v>
                </c:pt>
                <c:pt idx="16">
                  <c:v>0.59962268038937105</c:v>
                </c:pt>
                <c:pt idx="17">
                  <c:v>0.58756861887437195</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9170-478F-9D42-7DEA9A7EE4C0}"/>
            </c:ext>
          </c:extLst>
        </c:ser>
        <c:dLbls>
          <c:showLegendKey val="0"/>
          <c:showVal val="0"/>
          <c:showCatName val="0"/>
          <c:showSerName val="0"/>
          <c:showPercent val="0"/>
          <c:showBubbleSize val="0"/>
        </c:dLbls>
        <c:smooth val="0"/>
        <c:axId val="820790392"/>
        <c:axId val="820794232"/>
      </c:lineChart>
      <c:catAx>
        <c:axId val="820790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4232"/>
        <c:crosses val="autoZero"/>
        <c:auto val="1"/>
        <c:lblAlgn val="ctr"/>
        <c:lblOffset val="100"/>
        <c:noMultiLvlLbl val="1"/>
      </c:catAx>
      <c:valAx>
        <c:axId val="820794232"/>
        <c:scaling>
          <c:orientation val="minMax"/>
          <c:max val="0.8"/>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of the Workforce Living Locally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90392"/>
        <c:crosses val="autoZero"/>
        <c:crossBetween val="between"/>
        <c:majorUnit val="5.000000000000001E-2"/>
      </c:valAx>
      <c:spPr>
        <a:noFill/>
        <a:ln>
          <a:noFill/>
        </a:ln>
        <a:effectLst/>
      </c:spPr>
    </c:plotArea>
    <c:legend>
      <c:legendPos val="l"/>
      <c:layout>
        <c:manualLayout>
          <c:xMode val="edge"/>
          <c:yMode val="edge"/>
          <c:x val="1.9793814432989689E-2"/>
          <c:y val="0.25405795559338867"/>
          <c:w val="8.2114324108236034E-2"/>
          <c:h val="0.380070227708022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Lodging Occupancy</a:t>
            </a:r>
          </a:p>
        </c:rich>
      </c:tx>
      <c:layout>
        <c:manualLayout>
          <c:xMode val="edge"/>
          <c:yMode val="edge"/>
          <c:x val="3.2493648217636915E-2"/>
          <c:y val="5.9976931949250287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652936512706905"/>
          <c:y val="5.0925925925925923E-2"/>
          <c:w val="0.8428958212284533"/>
          <c:h val="0.8657407407407407"/>
        </c:manualLayout>
      </c:layout>
      <c:lineChart>
        <c:grouping val="standard"/>
        <c:varyColors val="0"/>
        <c:ser>
          <c:idx val="0"/>
          <c:order val="0"/>
          <c:tx>
            <c:strRef>
              <c:f>Indicators!$C$815</c:f>
              <c:strCache>
                <c:ptCount val="1"/>
                <c:pt idx="0">
                  <c:v>January</c:v>
                </c:pt>
              </c:strCache>
            </c:strRef>
          </c:tx>
          <c:spPr>
            <a:ln w="28575" cap="rnd">
              <a:solidFill>
                <a:schemeClr val="accent1"/>
              </a:solidFill>
              <a:round/>
            </a:ln>
            <a:effectLst/>
          </c:spPr>
          <c:marker>
            <c:symbol val="diamond"/>
            <c:size val="8"/>
            <c:spPr>
              <a:solidFill>
                <a:schemeClr val="accent1"/>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Indicators!$I$815:$AK$815</c:f>
              <c:numCache>
                <c:formatCode>0.0%</c:formatCode>
                <c:ptCount val="29"/>
                <c:pt idx="5">
                  <c:v>0.52900000000000003</c:v>
                </c:pt>
                <c:pt idx="6">
                  <c:v>0.54600000000000004</c:v>
                </c:pt>
                <c:pt idx="7">
                  <c:v>0.48</c:v>
                </c:pt>
                <c:pt idx="8">
                  <c:v>0.42</c:v>
                </c:pt>
                <c:pt idx="9">
                  <c:v>0.4</c:v>
                </c:pt>
                <c:pt idx="10">
                  <c:v>0.42299999999999999</c:v>
                </c:pt>
                <c:pt idx="11">
                  <c:v>0.42</c:v>
                </c:pt>
                <c:pt idx="12">
                  <c:v>0.51</c:v>
                </c:pt>
                <c:pt idx="13">
                  <c:v>0.53100000000000003</c:v>
                </c:pt>
                <c:pt idx="14">
                  <c:v>0.53200000000000003</c:v>
                </c:pt>
                <c:pt idx="15">
                  <c:v>0.58399999999999996</c:v>
                </c:pt>
                <c:pt idx="16">
                  <c:v>0.622</c:v>
                </c:pt>
                <c:pt idx="17">
                  <c:v>0.621</c:v>
                </c:pt>
                <c:pt idx="18">
                  <c:v>0.60799999999999998</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0-9E16-4011-BFBA-0A35078556D7}"/>
            </c:ext>
          </c:extLst>
        </c:ser>
        <c:ser>
          <c:idx val="1"/>
          <c:order val="1"/>
          <c:tx>
            <c:strRef>
              <c:f>Indicators!$C$816</c:f>
              <c:strCache>
                <c:ptCount val="1"/>
                <c:pt idx="0">
                  <c:v>April</c:v>
                </c:pt>
              </c:strCache>
            </c:strRef>
          </c:tx>
          <c:spPr>
            <a:ln w="28575" cap="rnd">
              <a:solidFill>
                <a:schemeClr val="accent2"/>
              </a:solidFill>
              <a:round/>
            </a:ln>
            <a:effectLst/>
          </c:spPr>
          <c:marker>
            <c:symbol val="square"/>
            <c:size val="6"/>
            <c:spPr>
              <a:solidFill>
                <a:schemeClr val="accent2"/>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Indicators!$I$816:$AK$816</c:f>
              <c:numCache>
                <c:formatCode>0.0%</c:formatCode>
                <c:ptCount val="29"/>
                <c:pt idx="5">
                  <c:v>0.246</c:v>
                </c:pt>
                <c:pt idx="6">
                  <c:v>0.217</c:v>
                </c:pt>
                <c:pt idx="7">
                  <c:v>0.157</c:v>
                </c:pt>
                <c:pt idx="8">
                  <c:v>0.156</c:v>
                </c:pt>
                <c:pt idx="9">
                  <c:v>0.13</c:v>
                </c:pt>
                <c:pt idx="10">
                  <c:v>0.18</c:v>
                </c:pt>
                <c:pt idx="11">
                  <c:v>0.16</c:v>
                </c:pt>
                <c:pt idx="12">
                  <c:v>0.11</c:v>
                </c:pt>
                <c:pt idx="13">
                  <c:v>0.154</c:v>
                </c:pt>
                <c:pt idx="14">
                  <c:v>0.14299999999999999</c:v>
                </c:pt>
                <c:pt idx="15">
                  <c:v>0.127</c:v>
                </c:pt>
                <c:pt idx="16">
                  <c:v>0.16400000000000001</c:v>
                </c:pt>
                <c:pt idx="17">
                  <c:v>0.185</c:v>
                </c:pt>
                <c:pt idx="18">
                  <c:v>4.1000000000000002E-2</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9E16-4011-BFBA-0A35078556D7}"/>
            </c:ext>
          </c:extLst>
        </c:ser>
        <c:ser>
          <c:idx val="2"/>
          <c:order val="2"/>
          <c:tx>
            <c:strRef>
              <c:f>Indicators!$C$817</c:f>
              <c:strCache>
                <c:ptCount val="1"/>
                <c:pt idx="0">
                  <c:v>July</c:v>
                </c:pt>
              </c:strCache>
            </c:strRef>
          </c:tx>
          <c:spPr>
            <a:ln w="28575" cap="rnd">
              <a:solidFill>
                <a:schemeClr val="accent6"/>
              </a:solidFill>
              <a:round/>
            </a:ln>
            <a:effectLst/>
          </c:spPr>
          <c:marker>
            <c:symbol val="triangle"/>
            <c:size val="8"/>
            <c:spPr>
              <a:solidFill>
                <a:schemeClr val="accent6"/>
              </a:solidFill>
              <a:ln w="9525">
                <a:no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Indicators!$I$817:$AK$817</c:f>
              <c:numCache>
                <c:formatCode>0.0%</c:formatCode>
                <c:ptCount val="29"/>
                <c:pt idx="5">
                  <c:v>0.95399999999999996</c:v>
                </c:pt>
                <c:pt idx="6">
                  <c:v>0.86599999999999999</c:v>
                </c:pt>
                <c:pt idx="7">
                  <c:v>0.83</c:v>
                </c:pt>
                <c:pt idx="8">
                  <c:v>0.88500000000000001</c:v>
                </c:pt>
                <c:pt idx="9">
                  <c:v>0.88500000000000001</c:v>
                </c:pt>
                <c:pt idx="10">
                  <c:v>0.87</c:v>
                </c:pt>
                <c:pt idx="11">
                  <c:v>0.82</c:v>
                </c:pt>
                <c:pt idx="12">
                  <c:v>0.88</c:v>
                </c:pt>
                <c:pt idx="13">
                  <c:v>0.9</c:v>
                </c:pt>
                <c:pt idx="14">
                  <c:v>0.92300000000000004</c:v>
                </c:pt>
                <c:pt idx="15">
                  <c:v>0.86899999999999999</c:v>
                </c:pt>
                <c:pt idx="16">
                  <c:v>0.877</c:v>
                </c:pt>
                <c:pt idx="17">
                  <c:v>0.84099999999999997</c:v>
                </c:pt>
                <c:pt idx="18">
                  <c:v>0.70699999999999996</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2-9E16-4011-BFBA-0A35078556D7}"/>
            </c:ext>
          </c:extLst>
        </c:ser>
        <c:ser>
          <c:idx val="3"/>
          <c:order val="3"/>
          <c:tx>
            <c:strRef>
              <c:f>Indicators!$C$818</c:f>
              <c:strCache>
                <c:ptCount val="1"/>
                <c:pt idx="0">
                  <c:v>October</c:v>
                </c:pt>
              </c:strCache>
            </c:strRef>
          </c:tx>
          <c:spPr>
            <a:ln w="28575" cap="rnd">
              <a:solidFill>
                <a:schemeClr val="accent4"/>
              </a:solidFill>
              <a:round/>
            </a:ln>
            <a:effectLst/>
          </c:spPr>
          <c:marker>
            <c:symbol val="x"/>
            <c:size val="8"/>
            <c:spPr>
              <a:noFill/>
              <a:ln w="9525">
                <a:solidFill>
                  <a:schemeClr val="accent4"/>
                </a:solidFill>
              </a:ln>
              <a:effectLst/>
            </c:spPr>
          </c:marker>
          <c:cat>
            <c:numRef>
              <c:f>Indicators!$I$2:$AK$2</c:f>
              <c:numCache>
                <c:formatCode>General</c:formatCode>
                <c:ptCount val="2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numCache>
            </c:numRef>
          </c:cat>
          <c:val>
            <c:numRef>
              <c:f>Indicators!$I$818:$AK$818</c:f>
              <c:numCache>
                <c:formatCode>0.0%</c:formatCode>
                <c:ptCount val="29"/>
                <c:pt idx="5">
                  <c:v>0.501</c:v>
                </c:pt>
                <c:pt idx="6">
                  <c:v>0.4</c:v>
                </c:pt>
                <c:pt idx="7">
                  <c:v>0.32100000000000001</c:v>
                </c:pt>
                <c:pt idx="8">
                  <c:v>0.37</c:v>
                </c:pt>
                <c:pt idx="9">
                  <c:v>0.34499999999999997</c:v>
                </c:pt>
                <c:pt idx="10">
                  <c:v>0.36</c:v>
                </c:pt>
                <c:pt idx="11">
                  <c:v>0.31</c:v>
                </c:pt>
                <c:pt idx="12">
                  <c:v>0.41</c:v>
                </c:pt>
                <c:pt idx="13">
                  <c:v>0.40600000000000003</c:v>
                </c:pt>
                <c:pt idx="14">
                  <c:v>0.432</c:v>
                </c:pt>
                <c:pt idx="15">
                  <c:v>0.45500000000000002</c:v>
                </c:pt>
                <c:pt idx="16">
                  <c:v>0.45300000000000001</c:v>
                </c:pt>
                <c:pt idx="17">
                  <c:v>0.47399999999999998</c:v>
                </c:pt>
                <c:pt idx="18">
                  <c:v>0.64700000000000002</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3-9E16-4011-BFBA-0A35078556D7}"/>
            </c:ext>
          </c:extLst>
        </c:ser>
        <c:dLbls>
          <c:showLegendKey val="0"/>
          <c:showVal val="0"/>
          <c:showCatName val="0"/>
          <c:showSerName val="0"/>
          <c:showPercent val="0"/>
          <c:showBubbleSize val="0"/>
        </c:dLbls>
        <c:marker val="1"/>
        <c:smooth val="0"/>
        <c:axId val="614338104"/>
        <c:axId val="614336184"/>
      </c:lineChart>
      <c:catAx>
        <c:axId val="614338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336184"/>
        <c:crosses val="autoZero"/>
        <c:auto val="1"/>
        <c:lblAlgn val="ctr"/>
        <c:lblOffset val="100"/>
        <c:noMultiLvlLbl val="0"/>
      </c:catAx>
      <c:valAx>
        <c:axId val="614336184"/>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 of Lodging Units Occupied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338104"/>
        <c:crosses val="autoZero"/>
        <c:crossBetween val="between"/>
      </c:valAx>
      <c:spPr>
        <a:noFill/>
        <a:ln>
          <a:noFill/>
        </a:ln>
        <a:effectLst/>
      </c:spPr>
    </c:plotArea>
    <c:legend>
      <c:legendPos val="l"/>
      <c:layout>
        <c:manualLayout>
          <c:xMode val="edge"/>
          <c:yMode val="edge"/>
          <c:x val="4.5074518356961107E-2"/>
          <c:y val="0.28892606417277428"/>
          <c:w val="2.9019807638548997E-2"/>
          <c:h val="0.3114208647794458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6</xdr:col>
      <xdr:colOff>9524</xdr:colOff>
      <xdr:row>194</xdr:row>
      <xdr:rowOff>52387</xdr:rowOff>
    </xdr:from>
    <xdr:to>
      <xdr:col>37</xdr:col>
      <xdr:colOff>609599</xdr:colOff>
      <xdr:row>208</xdr:row>
      <xdr:rowOff>128587</xdr:rowOff>
    </xdr:to>
    <xdr:graphicFrame macro="">
      <xdr:nvGraphicFramePr>
        <xdr:cNvPr id="2" name="Chart 1">
          <a:extLst>
            <a:ext uri="{FF2B5EF4-FFF2-40B4-BE49-F238E27FC236}">
              <a16:creationId xmlns:a16="http://schemas.microsoft.com/office/drawing/2014/main" id="{C73219A2-47B9-4743-B18A-4461538EAF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9524</xdr:colOff>
      <xdr:row>227</xdr:row>
      <xdr:rowOff>52387</xdr:rowOff>
    </xdr:from>
    <xdr:to>
      <xdr:col>37</xdr:col>
      <xdr:colOff>609599</xdr:colOff>
      <xdr:row>241</xdr:row>
      <xdr:rowOff>128587</xdr:rowOff>
    </xdr:to>
    <xdr:graphicFrame macro="">
      <xdr:nvGraphicFramePr>
        <xdr:cNvPr id="3" name="Chart 2">
          <a:extLst>
            <a:ext uri="{FF2B5EF4-FFF2-40B4-BE49-F238E27FC236}">
              <a16:creationId xmlns:a16="http://schemas.microsoft.com/office/drawing/2014/main" id="{ACD45384-7F29-4CF8-9110-1823393F4C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1095</xdr:row>
      <xdr:rowOff>38099</xdr:rowOff>
    </xdr:from>
    <xdr:to>
      <xdr:col>39</xdr:col>
      <xdr:colOff>0</xdr:colOff>
      <xdr:row>1109</xdr:row>
      <xdr:rowOff>190499</xdr:rowOff>
    </xdr:to>
    <xdr:graphicFrame macro="">
      <xdr:nvGraphicFramePr>
        <xdr:cNvPr id="5" name="Chart 4">
          <a:extLst>
            <a:ext uri="{FF2B5EF4-FFF2-40B4-BE49-F238E27FC236}">
              <a16:creationId xmlns:a16="http://schemas.microsoft.com/office/drawing/2014/main" id="{317DEA47-326B-4489-AB22-157C2D03DF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1391</xdr:row>
      <xdr:rowOff>28575</xdr:rowOff>
    </xdr:from>
    <xdr:to>
      <xdr:col>37</xdr:col>
      <xdr:colOff>581025</xdr:colOff>
      <xdr:row>1405</xdr:row>
      <xdr:rowOff>171450</xdr:rowOff>
    </xdr:to>
    <xdr:graphicFrame macro="">
      <xdr:nvGraphicFramePr>
        <xdr:cNvPr id="6" name="Chart 5">
          <a:extLst>
            <a:ext uri="{FF2B5EF4-FFF2-40B4-BE49-F238E27FC236}">
              <a16:creationId xmlns:a16="http://schemas.microsoft.com/office/drawing/2014/main" id="{6375B8E5-6997-4960-B765-4421E9789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1047</xdr:row>
      <xdr:rowOff>0</xdr:rowOff>
    </xdr:from>
    <xdr:to>
      <xdr:col>37</xdr:col>
      <xdr:colOff>581025</xdr:colOff>
      <xdr:row>1061</xdr:row>
      <xdr:rowOff>142875</xdr:rowOff>
    </xdr:to>
    <xdr:graphicFrame macro="">
      <xdr:nvGraphicFramePr>
        <xdr:cNvPr id="7" name="Chart 6">
          <a:extLst>
            <a:ext uri="{FF2B5EF4-FFF2-40B4-BE49-F238E27FC236}">
              <a16:creationId xmlns:a16="http://schemas.microsoft.com/office/drawing/2014/main" id="{1B9A9CF3-6589-47BE-8CEC-6E880F1CB7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889</xdr:row>
      <xdr:rowOff>28575</xdr:rowOff>
    </xdr:from>
    <xdr:to>
      <xdr:col>39</xdr:col>
      <xdr:colOff>9525</xdr:colOff>
      <xdr:row>903</xdr:row>
      <xdr:rowOff>171450</xdr:rowOff>
    </xdr:to>
    <xdr:graphicFrame macro="">
      <xdr:nvGraphicFramePr>
        <xdr:cNvPr id="9" name="Chart 8">
          <a:extLst>
            <a:ext uri="{FF2B5EF4-FFF2-40B4-BE49-F238E27FC236}">
              <a16:creationId xmlns:a16="http://schemas.microsoft.com/office/drawing/2014/main" id="{245D85B3-3D88-4482-B5A6-83215FADC4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0</xdr:colOff>
      <xdr:row>934</xdr:row>
      <xdr:rowOff>28575</xdr:rowOff>
    </xdr:from>
    <xdr:to>
      <xdr:col>37</xdr:col>
      <xdr:colOff>581025</xdr:colOff>
      <xdr:row>948</xdr:row>
      <xdr:rowOff>171450</xdr:rowOff>
    </xdr:to>
    <xdr:graphicFrame macro="">
      <xdr:nvGraphicFramePr>
        <xdr:cNvPr id="10" name="Chart 9">
          <a:extLst>
            <a:ext uri="{FF2B5EF4-FFF2-40B4-BE49-F238E27FC236}">
              <a16:creationId xmlns:a16="http://schemas.microsoft.com/office/drawing/2014/main" id="{EBC050F8-7DB0-476F-91E2-CF782C7317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376</xdr:row>
      <xdr:rowOff>28575</xdr:rowOff>
    </xdr:from>
    <xdr:to>
      <xdr:col>38</xdr:col>
      <xdr:colOff>600075</xdr:colOff>
      <xdr:row>390</xdr:row>
      <xdr:rowOff>171450</xdr:rowOff>
    </xdr:to>
    <xdr:graphicFrame macro="">
      <xdr:nvGraphicFramePr>
        <xdr:cNvPr id="11" name="Chart 10">
          <a:extLst>
            <a:ext uri="{FF2B5EF4-FFF2-40B4-BE49-F238E27FC236}">
              <a16:creationId xmlns:a16="http://schemas.microsoft.com/office/drawing/2014/main" id="{670AE44B-DC22-4531-A425-39A30FC82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19050</xdr:colOff>
      <xdr:row>799</xdr:row>
      <xdr:rowOff>33337</xdr:rowOff>
    </xdr:from>
    <xdr:to>
      <xdr:col>37</xdr:col>
      <xdr:colOff>9525</xdr:colOff>
      <xdr:row>813</xdr:row>
      <xdr:rowOff>109537</xdr:rowOff>
    </xdr:to>
    <xdr:graphicFrame macro="">
      <xdr:nvGraphicFramePr>
        <xdr:cNvPr id="14" name="Chart 13">
          <a:extLst>
            <a:ext uri="{FF2B5EF4-FFF2-40B4-BE49-F238E27FC236}">
              <a16:creationId xmlns:a16="http://schemas.microsoft.com/office/drawing/2014/main" id="{281DB2F1-6CDE-46D1-8E1C-1AAF89B07E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9525</xdr:colOff>
      <xdr:row>829</xdr:row>
      <xdr:rowOff>57150</xdr:rowOff>
    </xdr:from>
    <xdr:to>
      <xdr:col>37</xdr:col>
      <xdr:colOff>409575</xdr:colOff>
      <xdr:row>843</xdr:row>
      <xdr:rowOff>133350</xdr:rowOff>
    </xdr:to>
    <xdr:graphicFrame macro="">
      <xdr:nvGraphicFramePr>
        <xdr:cNvPr id="16" name="Chart 15">
          <a:extLst>
            <a:ext uri="{FF2B5EF4-FFF2-40B4-BE49-F238E27FC236}">
              <a16:creationId xmlns:a16="http://schemas.microsoft.com/office/drawing/2014/main" id="{A58DD858-0FD5-4EEC-8E04-7D578BC73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19050</xdr:colOff>
      <xdr:row>558</xdr:row>
      <xdr:rowOff>28575</xdr:rowOff>
    </xdr:from>
    <xdr:to>
      <xdr:col>37</xdr:col>
      <xdr:colOff>600075</xdr:colOff>
      <xdr:row>572</xdr:row>
      <xdr:rowOff>104775</xdr:rowOff>
    </xdr:to>
    <xdr:graphicFrame macro="">
      <xdr:nvGraphicFramePr>
        <xdr:cNvPr id="4" name="Chart 3">
          <a:extLst>
            <a:ext uri="{FF2B5EF4-FFF2-40B4-BE49-F238E27FC236}">
              <a16:creationId xmlns:a16="http://schemas.microsoft.com/office/drawing/2014/main" id="{6748F78F-24E7-4E86-ABE4-F08C1622C0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9525</xdr:colOff>
      <xdr:row>323</xdr:row>
      <xdr:rowOff>52387</xdr:rowOff>
    </xdr:from>
    <xdr:to>
      <xdr:col>38</xdr:col>
      <xdr:colOff>600075</xdr:colOff>
      <xdr:row>337</xdr:row>
      <xdr:rowOff>128587</xdr:rowOff>
    </xdr:to>
    <xdr:graphicFrame macro="">
      <xdr:nvGraphicFramePr>
        <xdr:cNvPr id="15" name="Chart 14">
          <a:extLst>
            <a:ext uri="{FF2B5EF4-FFF2-40B4-BE49-F238E27FC236}">
              <a16:creationId xmlns:a16="http://schemas.microsoft.com/office/drawing/2014/main" id="{457F20BB-93A2-4DFB-BE5F-7B15621A37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0</xdr:colOff>
      <xdr:row>965</xdr:row>
      <xdr:rowOff>38100</xdr:rowOff>
    </xdr:from>
    <xdr:to>
      <xdr:col>37</xdr:col>
      <xdr:colOff>581025</xdr:colOff>
      <xdr:row>979</xdr:row>
      <xdr:rowOff>180975</xdr:rowOff>
    </xdr:to>
    <xdr:graphicFrame macro="">
      <xdr:nvGraphicFramePr>
        <xdr:cNvPr id="17" name="Chart 16">
          <a:extLst>
            <a:ext uri="{FF2B5EF4-FFF2-40B4-BE49-F238E27FC236}">
              <a16:creationId xmlns:a16="http://schemas.microsoft.com/office/drawing/2014/main" id="{21535FDC-1A7F-4ECA-8978-41D6832F21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0</xdr:colOff>
      <xdr:row>988</xdr:row>
      <xdr:rowOff>28575</xdr:rowOff>
    </xdr:from>
    <xdr:to>
      <xdr:col>37</xdr:col>
      <xdr:colOff>581025</xdr:colOff>
      <xdr:row>1002</xdr:row>
      <xdr:rowOff>171450</xdr:rowOff>
    </xdr:to>
    <xdr:graphicFrame macro="">
      <xdr:nvGraphicFramePr>
        <xdr:cNvPr id="18" name="Chart 17">
          <a:extLst>
            <a:ext uri="{FF2B5EF4-FFF2-40B4-BE49-F238E27FC236}">
              <a16:creationId xmlns:a16="http://schemas.microsoft.com/office/drawing/2014/main" id="{A566EBFF-4C8F-466E-821B-547826001F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0</xdr:colOff>
      <xdr:row>1011</xdr:row>
      <xdr:rowOff>0</xdr:rowOff>
    </xdr:from>
    <xdr:to>
      <xdr:col>37</xdr:col>
      <xdr:colOff>581025</xdr:colOff>
      <xdr:row>1025</xdr:row>
      <xdr:rowOff>142875</xdr:rowOff>
    </xdr:to>
    <xdr:graphicFrame macro="">
      <xdr:nvGraphicFramePr>
        <xdr:cNvPr id="19" name="Chart 18">
          <a:extLst>
            <a:ext uri="{FF2B5EF4-FFF2-40B4-BE49-F238E27FC236}">
              <a16:creationId xmlns:a16="http://schemas.microsoft.com/office/drawing/2014/main" id="{0F538FB5-6BD2-4B9C-ADCC-43559BD810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247649</xdr:colOff>
      <xdr:row>122</xdr:row>
      <xdr:rowOff>57150</xdr:rowOff>
    </xdr:from>
    <xdr:to>
      <xdr:col>38</xdr:col>
      <xdr:colOff>200024</xdr:colOff>
      <xdr:row>136</xdr:row>
      <xdr:rowOff>133350</xdr:rowOff>
    </xdr:to>
    <xdr:graphicFrame macro="">
      <xdr:nvGraphicFramePr>
        <xdr:cNvPr id="20" name="Chart 19">
          <a:extLst>
            <a:ext uri="{FF2B5EF4-FFF2-40B4-BE49-F238E27FC236}">
              <a16:creationId xmlns:a16="http://schemas.microsoft.com/office/drawing/2014/main" id="{4CC0619A-808F-41F5-A8F5-639E5F0DA1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0</xdr:colOff>
      <xdr:row>645</xdr:row>
      <xdr:rowOff>28575</xdr:rowOff>
    </xdr:from>
    <xdr:to>
      <xdr:col>37</xdr:col>
      <xdr:colOff>581025</xdr:colOff>
      <xdr:row>659</xdr:row>
      <xdr:rowOff>171450</xdr:rowOff>
    </xdr:to>
    <xdr:graphicFrame macro="">
      <xdr:nvGraphicFramePr>
        <xdr:cNvPr id="21" name="Chart 20">
          <a:extLst>
            <a:ext uri="{FF2B5EF4-FFF2-40B4-BE49-F238E27FC236}">
              <a16:creationId xmlns:a16="http://schemas.microsoft.com/office/drawing/2014/main" id="{C42066EB-3E29-4A2E-BABE-6B6362453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0</xdr:colOff>
      <xdr:row>283</xdr:row>
      <xdr:rowOff>57150</xdr:rowOff>
    </xdr:from>
    <xdr:to>
      <xdr:col>39</xdr:col>
      <xdr:colOff>0</xdr:colOff>
      <xdr:row>297</xdr:row>
      <xdr:rowOff>133350</xdr:rowOff>
    </xdr:to>
    <xdr:graphicFrame macro="">
      <xdr:nvGraphicFramePr>
        <xdr:cNvPr id="22" name="Chart 21">
          <a:extLst>
            <a:ext uri="{FF2B5EF4-FFF2-40B4-BE49-F238E27FC236}">
              <a16:creationId xmlns:a16="http://schemas.microsoft.com/office/drawing/2014/main" id="{477063DF-00AC-4F90-BD59-63612EE6AE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0</xdr:colOff>
      <xdr:row>487</xdr:row>
      <xdr:rowOff>57150</xdr:rowOff>
    </xdr:from>
    <xdr:to>
      <xdr:col>39</xdr:col>
      <xdr:colOff>0</xdr:colOff>
      <xdr:row>501</xdr:row>
      <xdr:rowOff>133350</xdr:rowOff>
    </xdr:to>
    <xdr:graphicFrame macro="">
      <xdr:nvGraphicFramePr>
        <xdr:cNvPr id="23" name="Chart 22">
          <a:extLst>
            <a:ext uri="{FF2B5EF4-FFF2-40B4-BE49-F238E27FC236}">
              <a16:creationId xmlns:a16="http://schemas.microsoft.com/office/drawing/2014/main" id="{686B0A6F-839E-4392-98E5-746BBB848B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0</xdr:colOff>
      <xdr:row>1426</xdr:row>
      <xdr:rowOff>28575</xdr:rowOff>
    </xdr:from>
    <xdr:to>
      <xdr:col>37</xdr:col>
      <xdr:colOff>581025</xdr:colOff>
      <xdr:row>1440</xdr:row>
      <xdr:rowOff>171450</xdr:rowOff>
    </xdr:to>
    <xdr:graphicFrame macro="">
      <xdr:nvGraphicFramePr>
        <xdr:cNvPr id="24" name="Chart 23">
          <a:extLst>
            <a:ext uri="{FF2B5EF4-FFF2-40B4-BE49-F238E27FC236}">
              <a16:creationId xmlns:a16="http://schemas.microsoft.com/office/drawing/2014/main" id="{DA8667F0-09B1-46A0-8484-AD42DD8813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0</xdr:colOff>
      <xdr:row>29</xdr:row>
      <xdr:rowOff>47625</xdr:rowOff>
    </xdr:from>
    <xdr:to>
      <xdr:col>37</xdr:col>
      <xdr:colOff>600075</xdr:colOff>
      <xdr:row>43</xdr:row>
      <xdr:rowOff>152400</xdr:rowOff>
    </xdr:to>
    <xdr:graphicFrame macro="">
      <xdr:nvGraphicFramePr>
        <xdr:cNvPr id="25" name="Chart 24">
          <a:extLst>
            <a:ext uri="{FF2B5EF4-FFF2-40B4-BE49-F238E27FC236}">
              <a16:creationId xmlns:a16="http://schemas.microsoft.com/office/drawing/2014/main" id="{A6C8C2EA-BE81-4CC3-8B1B-A7A156241F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ls.gov/cew/data.htm" TargetMode="External"/><Relationship Id="rId1" Type="http://schemas.openxmlformats.org/officeDocument/2006/relationships/hyperlink" Target="https://apps.bea.gov/iTable/iTable.cfm?reqid=70&amp;step=1&amp;isuri=1"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8BD04-AA23-42E5-87E0-0B042116A261}">
  <dimension ref="A1:M57"/>
  <sheetViews>
    <sheetView tabSelected="1" zoomScaleNormal="100" workbookViewId="0">
      <selection activeCell="J14" sqref="J14"/>
    </sheetView>
  </sheetViews>
  <sheetFormatPr defaultRowHeight="15" x14ac:dyDescent="0.25"/>
  <cols>
    <col min="1" max="1" width="3.7109375" customWidth="1"/>
    <col min="2" max="2" width="38.85546875" customWidth="1"/>
    <col min="3" max="3" width="41.5703125" customWidth="1"/>
    <col min="4" max="4" width="23.5703125" customWidth="1"/>
    <col min="5" max="5" width="2.7109375" style="3" customWidth="1"/>
    <col min="6" max="8" width="3.7109375" customWidth="1"/>
    <col min="9" max="9" width="52.5703125" customWidth="1"/>
    <col min="10" max="10" width="9.5703125" customWidth="1"/>
    <col min="11" max="11" width="10.7109375" style="19" customWidth="1"/>
    <col min="12" max="12" width="10.42578125" customWidth="1"/>
    <col min="13" max="13" width="29" bestFit="1" customWidth="1"/>
  </cols>
  <sheetData>
    <row r="1" spans="1:13" s="10" customFormat="1" ht="20.25" thickBot="1" x14ac:dyDescent="0.3">
      <c r="A1" s="10" t="s">
        <v>27</v>
      </c>
      <c r="E1" s="78"/>
      <c r="K1" s="193"/>
      <c r="M1" s="307"/>
    </row>
    <row r="2" spans="1:13" s="37" customFormat="1" ht="17.25" x14ac:dyDescent="0.3">
      <c r="A2" s="37" t="s">
        <v>0</v>
      </c>
      <c r="C2" s="37" t="s">
        <v>360</v>
      </c>
      <c r="D2" s="37" t="s">
        <v>1003</v>
      </c>
      <c r="E2" s="76"/>
      <c r="F2" s="37" t="s">
        <v>26</v>
      </c>
      <c r="J2" s="37" t="s">
        <v>1413</v>
      </c>
      <c r="K2" s="194" t="s">
        <v>1011</v>
      </c>
      <c r="L2" s="37" t="s">
        <v>1007</v>
      </c>
    </row>
    <row r="3" spans="1:13" x14ac:dyDescent="0.25">
      <c r="A3" s="168"/>
      <c r="B3" s="63" t="s">
        <v>39</v>
      </c>
      <c r="C3" t="s">
        <v>351</v>
      </c>
      <c r="D3" t="s">
        <v>336</v>
      </c>
      <c r="G3" s="13" t="s">
        <v>418</v>
      </c>
    </row>
    <row r="4" spans="1:13" x14ac:dyDescent="0.25">
      <c r="A4" s="168"/>
      <c r="B4" s="63" t="s">
        <v>4</v>
      </c>
      <c r="C4" t="s">
        <v>354</v>
      </c>
      <c r="D4" t="s">
        <v>336</v>
      </c>
      <c r="H4" s="9" t="s">
        <v>397</v>
      </c>
      <c r="J4" s="264" t="s">
        <v>417</v>
      </c>
      <c r="K4" s="19">
        <v>1</v>
      </c>
    </row>
    <row r="5" spans="1:13" x14ac:dyDescent="0.25">
      <c r="A5" s="168"/>
      <c r="B5" s="63" t="s">
        <v>348</v>
      </c>
      <c r="C5" t="s">
        <v>353</v>
      </c>
      <c r="D5" t="s">
        <v>336</v>
      </c>
      <c r="G5" s="168"/>
      <c r="H5" s="306" t="s">
        <v>398</v>
      </c>
      <c r="J5" s="176" t="s">
        <v>1414</v>
      </c>
      <c r="K5" s="19" t="s">
        <v>1012</v>
      </c>
      <c r="L5" t="s">
        <v>1008</v>
      </c>
    </row>
    <row r="6" spans="1:13" x14ac:dyDescent="0.25">
      <c r="A6" s="168"/>
      <c r="B6" s="63" t="s">
        <v>700</v>
      </c>
      <c r="C6" s="168" t="s">
        <v>702</v>
      </c>
      <c r="D6" t="s">
        <v>336</v>
      </c>
      <c r="G6" s="168"/>
      <c r="H6" s="243" t="s">
        <v>399</v>
      </c>
      <c r="J6" s="264" t="s">
        <v>417</v>
      </c>
      <c r="K6" s="19">
        <v>1</v>
      </c>
    </row>
    <row r="7" spans="1:13" x14ac:dyDescent="0.25">
      <c r="A7" s="168"/>
      <c r="B7" s="63" t="s">
        <v>347</v>
      </c>
      <c r="C7" t="s">
        <v>352</v>
      </c>
      <c r="D7" t="s">
        <v>336</v>
      </c>
      <c r="G7" s="168"/>
      <c r="H7" s="243" t="s">
        <v>809</v>
      </c>
      <c r="J7" s="176" t="s">
        <v>417</v>
      </c>
      <c r="K7" s="19">
        <v>1</v>
      </c>
    </row>
    <row r="8" spans="1:13" x14ac:dyDescent="0.25">
      <c r="A8" s="168"/>
      <c r="B8" s="63" t="s">
        <v>349</v>
      </c>
      <c r="C8" t="s">
        <v>352</v>
      </c>
      <c r="D8" t="s">
        <v>336</v>
      </c>
      <c r="G8" s="168"/>
      <c r="H8" s="243" t="s">
        <v>400</v>
      </c>
      <c r="J8" s="264" t="s">
        <v>417</v>
      </c>
      <c r="K8" s="19">
        <v>1</v>
      </c>
    </row>
    <row r="9" spans="1:13" x14ac:dyDescent="0.25">
      <c r="A9" s="168"/>
      <c r="B9" s="63" t="s">
        <v>350</v>
      </c>
      <c r="C9" t="s">
        <v>352</v>
      </c>
      <c r="D9" t="s">
        <v>336</v>
      </c>
      <c r="G9" s="168"/>
      <c r="H9" s="306" t="s">
        <v>401</v>
      </c>
      <c r="J9" s="265" t="s">
        <v>1414</v>
      </c>
      <c r="K9" s="19">
        <v>2</v>
      </c>
      <c r="L9" t="s">
        <v>1008</v>
      </c>
    </row>
    <row r="10" spans="1:13" x14ac:dyDescent="0.25">
      <c r="A10" s="168"/>
      <c r="B10" s="63" t="s">
        <v>5</v>
      </c>
      <c r="C10" t="s">
        <v>396</v>
      </c>
      <c r="D10" t="s">
        <v>336</v>
      </c>
      <c r="G10" s="168"/>
      <c r="H10" s="306" t="s">
        <v>428</v>
      </c>
      <c r="J10" s="243" t="s">
        <v>1414</v>
      </c>
      <c r="K10" s="19">
        <v>3</v>
      </c>
      <c r="L10" t="s">
        <v>1009</v>
      </c>
    </row>
    <row r="11" spans="1:13" x14ac:dyDescent="0.25">
      <c r="A11" s="168"/>
      <c r="B11" s="63" t="s">
        <v>22</v>
      </c>
      <c r="C11" t="s">
        <v>395</v>
      </c>
      <c r="D11" t="s">
        <v>336</v>
      </c>
      <c r="G11" s="168"/>
      <c r="H11" s="306" t="s">
        <v>426</v>
      </c>
      <c r="J11" s="243" t="s">
        <v>1414</v>
      </c>
      <c r="K11" s="19">
        <v>3</v>
      </c>
      <c r="L11" t="s">
        <v>1010</v>
      </c>
    </row>
    <row r="12" spans="1:13" x14ac:dyDescent="0.25">
      <c r="A12" s="168"/>
      <c r="B12" s="63" t="s">
        <v>359</v>
      </c>
      <c r="C12" t="s">
        <v>355</v>
      </c>
      <c r="D12" t="s">
        <v>1013</v>
      </c>
      <c r="E12" s="77"/>
      <c r="G12" s="168"/>
      <c r="H12" s="306" t="s">
        <v>427</v>
      </c>
      <c r="J12" s="243" t="s">
        <v>1414</v>
      </c>
      <c r="K12" s="19">
        <v>3</v>
      </c>
      <c r="L12" t="s">
        <v>1009</v>
      </c>
    </row>
    <row r="13" spans="1:13" x14ac:dyDescent="0.25">
      <c r="A13" s="168"/>
      <c r="B13" s="63" t="s">
        <v>705</v>
      </c>
      <c r="C13" t="s">
        <v>355</v>
      </c>
      <c r="D13" t="s">
        <v>1013</v>
      </c>
      <c r="E13" s="77"/>
      <c r="G13" s="168"/>
      <c r="H13" s="306" t="s">
        <v>402</v>
      </c>
      <c r="J13" s="176" t="s">
        <v>1414</v>
      </c>
      <c r="K13" s="19">
        <v>3</v>
      </c>
      <c r="L13" t="s">
        <v>1008</v>
      </c>
    </row>
    <row r="14" spans="1:13" x14ac:dyDescent="0.25">
      <c r="A14" s="168"/>
      <c r="B14" s="63" t="s">
        <v>706</v>
      </c>
      <c r="C14" t="s">
        <v>355</v>
      </c>
      <c r="D14" t="s">
        <v>1013</v>
      </c>
      <c r="E14" s="77"/>
      <c r="G14" s="168"/>
      <c r="H14" s="306" t="s">
        <v>403</v>
      </c>
      <c r="J14" s="264" t="s">
        <v>1420</v>
      </c>
      <c r="K14" s="19">
        <v>4</v>
      </c>
      <c r="L14" t="s">
        <v>1008</v>
      </c>
    </row>
    <row r="15" spans="1:13" x14ac:dyDescent="0.25">
      <c r="A15" s="168"/>
      <c r="B15" s="63" t="s">
        <v>358</v>
      </c>
      <c r="C15" t="s">
        <v>356</v>
      </c>
      <c r="D15" t="s">
        <v>1019</v>
      </c>
      <c r="E15" s="77"/>
      <c r="G15" s="168"/>
      <c r="H15" s="306" t="s">
        <v>404</v>
      </c>
      <c r="J15" s="176" t="s">
        <v>1414</v>
      </c>
      <c r="K15" s="19">
        <v>4</v>
      </c>
      <c r="L15" t="s">
        <v>1008</v>
      </c>
    </row>
    <row r="16" spans="1:13" x14ac:dyDescent="0.25">
      <c r="A16" s="168"/>
      <c r="B16" s="63" t="s">
        <v>357</v>
      </c>
      <c r="C16" t="s">
        <v>356</v>
      </c>
      <c r="D16" t="s">
        <v>1036</v>
      </c>
      <c r="E16" s="77"/>
      <c r="G16" s="168"/>
      <c r="H16" s="306" t="s">
        <v>1093</v>
      </c>
      <c r="J16" s="264" t="s">
        <v>417</v>
      </c>
      <c r="K16" s="19">
        <v>4</v>
      </c>
    </row>
    <row r="17" spans="1:12" x14ac:dyDescent="0.25">
      <c r="A17" s="168"/>
      <c r="B17" s="63" t="s">
        <v>1115</v>
      </c>
      <c r="C17" t="s">
        <v>704</v>
      </c>
      <c r="D17" t="s">
        <v>1117</v>
      </c>
      <c r="E17" s="77"/>
      <c r="G17" s="168"/>
      <c r="H17" s="306" t="s">
        <v>405</v>
      </c>
      <c r="J17" s="176" t="s">
        <v>1414</v>
      </c>
      <c r="K17" s="19">
        <v>4</v>
      </c>
      <c r="L17" t="s">
        <v>1008</v>
      </c>
    </row>
    <row r="18" spans="1:12" x14ac:dyDescent="0.25">
      <c r="B18" s="63" t="s">
        <v>1116</v>
      </c>
      <c r="C18" t="s">
        <v>704</v>
      </c>
      <c r="D18" t="s">
        <v>1117</v>
      </c>
      <c r="G18" s="168"/>
      <c r="H18" s="306" t="s">
        <v>406</v>
      </c>
      <c r="J18" s="264" t="s">
        <v>417</v>
      </c>
      <c r="K18" s="19">
        <v>4</v>
      </c>
    </row>
    <row r="19" spans="1:12" x14ac:dyDescent="0.25">
      <c r="B19" s="63" t="s">
        <v>1257</v>
      </c>
      <c r="C19" t="s">
        <v>1258</v>
      </c>
      <c r="D19" s="223" t="s">
        <v>1004</v>
      </c>
      <c r="G19" s="168"/>
      <c r="H19" s="306" t="s">
        <v>407</v>
      </c>
      <c r="J19" s="176" t="s">
        <v>1414</v>
      </c>
      <c r="K19" s="19">
        <v>5</v>
      </c>
      <c r="L19" t="s">
        <v>1009</v>
      </c>
    </row>
    <row r="20" spans="1:12" x14ac:dyDescent="0.25">
      <c r="B20" s="63" t="s">
        <v>7</v>
      </c>
      <c r="C20" t="s">
        <v>390</v>
      </c>
      <c r="D20" t="s">
        <v>1004</v>
      </c>
      <c r="G20" s="168"/>
      <c r="H20" s="306" t="s">
        <v>408</v>
      </c>
      <c r="J20" s="176" t="s">
        <v>1414</v>
      </c>
      <c r="K20" s="19">
        <v>5</v>
      </c>
      <c r="L20" t="s">
        <v>1009</v>
      </c>
    </row>
    <row r="21" spans="1:12" x14ac:dyDescent="0.25">
      <c r="A21" s="168"/>
      <c r="B21" s="63" t="s">
        <v>6</v>
      </c>
      <c r="C21" t="s">
        <v>495</v>
      </c>
      <c r="D21" t="s">
        <v>1004</v>
      </c>
      <c r="G21" s="168"/>
      <c r="H21" s="306" t="s">
        <v>409</v>
      </c>
      <c r="J21" s="176"/>
      <c r="K21" s="19">
        <v>6</v>
      </c>
      <c r="L21" t="s">
        <v>1010</v>
      </c>
    </row>
    <row r="22" spans="1:12" x14ac:dyDescent="0.25">
      <c r="A22" s="168"/>
      <c r="B22" s="63" t="s">
        <v>9</v>
      </c>
      <c r="C22" t="s">
        <v>493</v>
      </c>
      <c r="D22" t="s">
        <v>1004</v>
      </c>
      <c r="G22" s="168"/>
      <c r="H22" s="243"/>
      <c r="I22" t="s">
        <v>35</v>
      </c>
      <c r="J22" s="243" t="s">
        <v>1414</v>
      </c>
      <c r="K22" s="19">
        <v>6</v>
      </c>
      <c r="L22" s="223" t="s">
        <v>1010</v>
      </c>
    </row>
    <row r="23" spans="1:12" x14ac:dyDescent="0.25">
      <c r="B23" s="63" t="s">
        <v>29</v>
      </c>
      <c r="C23" t="s">
        <v>493</v>
      </c>
      <c r="D23" t="s">
        <v>1004</v>
      </c>
      <c r="G23" s="168"/>
      <c r="H23" s="243"/>
      <c r="I23" s="9" t="s">
        <v>38</v>
      </c>
      <c r="J23" s="243" t="s">
        <v>1414</v>
      </c>
      <c r="K23" s="19">
        <v>6</v>
      </c>
      <c r="L23" t="s">
        <v>1418</v>
      </c>
    </row>
    <row r="24" spans="1:12" x14ac:dyDescent="0.25">
      <c r="B24" s="63" t="s">
        <v>8</v>
      </c>
      <c r="C24" t="s">
        <v>494</v>
      </c>
      <c r="D24" t="s">
        <v>1004</v>
      </c>
      <c r="G24" s="168"/>
      <c r="H24" s="243"/>
      <c r="I24" s="9" t="s">
        <v>616</v>
      </c>
      <c r="J24" s="243" t="s">
        <v>1414</v>
      </c>
      <c r="K24" s="19">
        <v>6</v>
      </c>
      <c r="L24" t="s">
        <v>1418</v>
      </c>
    </row>
    <row r="25" spans="1:12" x14ac:dyDescent="0.25">
      <c r="B25" s="63" t="s">
        <v>329</v>
      </c>
      <c r="C25" t="s">
        <v>391</v>
      </c>
      <c r="D25" t="s">
        <v>1004</v>
      </c>
      <c r="G25" s="168"/>
      <c r="H25" s="243"/>
      <c r="I25" s="9" t="s">
        <v>617</v>
      </c>
      <c r="J25" s="243" t="s">
        <v>1414</v>
      </c>
      <c r="K25" s="19">
        <v>6</v>
      </c>
      <c r="L25" t="s">
        <v>1418</v>
      </c>
    </row>
    <row r="26" spans="1:12" x14ac:dyDescent="0.25">
      <c r="B26" s="63" t="s">
        <v>327</v>
      </c>
      <c r="C26" t="s">
        <v>362</v>
      </c>
      <c r="D26" t="s">
        <v>1004</v>
      </c>
      <c r="G26" s="168"/>
      <c r="H26" s="243"/>
      <c r="I26" s="63" t="s">
        <v>618</v>
      </c>
      <c r="J26" s="176" t="s">
        <v>1414</v>
      </c>
      <c r="K26" s="19">
        <v>6</v>
      </c>
      <c r="L26" s="223" t="s">
        <v>1010</v>
      </c>
    </row>
    <row r="27" spans="1:12" x14ac:dyDescent="0.25">
      <c r="B27" s="63" t="s">
        <v>446</v>
      </c>
      <c r="C27" t="s">
        <v>362</v>
      </c>
      <c r="D27" t="s">
        <v>1004</v>
      </c>
      <c r="G27" s="168"/>
      <c r="H27" s="243"/>
      <c r="I27" s="63" t="s">
        <v>619</v>
      </c>
      <c r="J27" s="176" t="s">
        <v>1414</v>
      </c>
      <c r="K27" s="19">
        <v>6</v>
      </c>
      <c r="L27" s="223" t="s">
        <v>1010</v>
      </c>
    </row>
    <row r="28" spans="1:12" x14ac:dyDescent="0.25">
      <c r="B28" s="63" t="s">
        <v>447</v>
      </c>
      <c r="C28" t="s">
        <v>25</v>
      </c>
      <c r="D28" t="s">
        <v>1005</v>
      </c>
      <c r="G28" s="168"/>
      <c r="H28" s="243"/>
      <c r="I28" s="63" t="s">
        <v>620</v>
      </c>
      <c r="J28" s="176" t="s">
        <v>1414</v>
      </c>
      <c r="K28" s="19">
        <v>6</v>
      </c>
      <c r="L28" s="223" t="s">
        <v>1010</v>
      </c>
    </row>
    <row r="29" spans="1:12" x14ac:dyDescent="0.25">
      <c r="A29" s="223"/>
      <c r="B29" s="63" t="s">
        <v>1353</v>
      </c>
      <c r="C29" s="223" t="s">
        <v>25</v>
      </c>
      <c r="D29" s="223" t="s">
        <v>1005</v>
      </c>
      <c r="G29" s="168"/>
      <c r="H29" s="243"/>
      <c r="I29" t="s">
        <v>868</v>
      </c>
      <c r="J29" s="176" t="s">
        <v>1414</v>
      </c>
      <c r="K29" s="19">
        <v>6</v>
      </c>
      <c r="L29" t="s">
        <v>1010</v>
      </c>
    </row>
    <row r="30" spans="1:12" s="223" customFormat="1" x14ac:dyDescent="0.25">
      <c r="A30"/>
      <c r="B30" s="63" t="s">
        <v>367</v>
      </c>
      <c r="C30" t="s">
        <v>368</v>
      </c>
      <c r="D30" t="s">
        <v>1006</v>
      </c>
      <c r="E30" s="3"/>
      <c r="G30" s="168"/>
      <c r="H30" s="243"/>
      <c r="I30" s="223" t="s">
        <v>1415</v>
      </c>
      <c r="J30" s="176" t="s">
        <v>417</v>
      </c>
      <c r="K30" s="19">
        <v>6</v>
      </c>
    </row>
    <row r="31" spans="1:12" x14ac:dyDescent="0.25">
      <c r="B31" s="63" t="s">
        <v>369</v>
      </c>
      <c r="C31" t="s">
        <v>370</v>
      </c>
      <c r="D31" t="s">
        <v>336</v>
      </c>
      <c r="G31" s="168"/>
      <c r="H31" s="243"/>
      <c r="I31" t="s">
        <v>688</v>
      </c>
      <c r="J31" s="176" t="s">
        <v>1421</v>
      </c>
      <c r="K31" s="19">
        <v>6</v>
      </c>
      <c r="L31" t="s">
        <v>1008</v>
      </c>
    </row>
    <row r="32" spans="1:12" x14ac:dyDescent="0.25">
      <c r="A32" s="168"/>
      <c r="B32" s="63" t="s">
        <v>1464</v>
      </c>
      <c r="D32" t="s">
        <v>563</v>
      </c>
      <c r="G32" s="168"/>
      <c r="H32" s="243"/>
      <c r="I32" t="s">
        <v>689</v>
      </c>
      <c r="J32" s="176" t="s">
        <v>1421</v>
      </c>
      <c r="K32" s="19">
        <v>6</v>
      </c>
      <c r="L32" t="s">
        <v>1008</v>
      </c>
    </row>
    <row r="33" spans="1:13" x14ac:dyDescent="0.25">
      <c r="B33" s="63" t="s">
        <v>361</v>
      </c>
      <c r="C33" t="s">
        <v>371</v>
      </c>
      <c r="D33" t="s">
        <v>336</v>
      </c>
      <c r="G33" s="168"/>
      <c r="H33" s="243"/>
      <c r="I33" t="s">
        <v>622</v>
      </c>
      <c r="J33" s="176" t="s">
        <v>1416</v>
      </c>
      <c r="K33" s="19">
        <v>6</v>
      </c>
      <c r="L33" t="s">
        <v>1008</v>
      </c>
    </row>
    <row r="34" spans="1:13" x14ac:dyDescent="0.25">
      <c r="B34" s="63" t="s">
        <v>402</v>
      </c>
      <c r="C34" t="s">
        <v>703</v>
      </c>
      <c r="D34" s="223" t="s">
        <v>336</v>
      </c>
      <c r="H34" s="243"/>
      <c r="I34" t="s">
        <v>2051</v>
      </c>
      <c r="J34" s="243" t="s">
        <v>1414</v>
      </c>
      <c r="K34" s="19">
        <v>6</v>
      </c>
      <c r="L34" t="s">
        <v>1419</v>
      </c>
    </row>
    <row r="35" spans="1:13" x14ac:dyDescent="0.25">
      <c r="B35" s="63" t="s">
        <v>10</v>
      </c>
      <c r="C35" t="s">
        <v>11</v>
      </c>
      <c r="D35" t="s">
        <v>1432</v>
      </c>
      <c r="G35" s="168"/>
      <c r="H35" s="63" t="s">
        <v>10</v>
      </c>
      <c r="J35" s="243" t="s">
        <v>1414</v>
      </c>
      <c r="K35" s="19">
        <v>6</v>
      </c>
      <c r="L35" t="s">
        <v>1009</v>
      </c>
    </row>
    <row r="36" spans="1:13" x14ac:dyDescent="0.25">
      <c r="B36" s="63" t="s">
        <v>12</v>
      </c>
      <c r="C36" t="s">
        <v>364</v>
      </c>
      <c r="D36" t="s">
        <v>1433</v>
      </c>
      <c r="G36" s="168"/>
      <c r="H36" s="63" t="s">
        <v>410</v>
      </c>
      <c r="J36" s="176" t="s">
        <v>1421</v>
      </c>
      <c r="K36" s="19">
        <v>6</v>
      </c>
      <c r="L36" t="s">
        <v>1009</v>
      </c>
    </row>
    <row r="37" spans="1:13" x14ac:dyDescent="0.25">
      <c r="B37" s="63" t="s">
        <v>13</v>
      </c>
      <c r="C37" t="s">
        <v>372</v>
      </c>
      <c r="D37" t="s">
        <v>679</v>
      </c>
      <c r="G37" s="168"/>
      <c r="H37" s="9" t="s">
        <v>411</v>
      </c>
      <c r="J37" s="265" t="s">
        <v>417</v>
      </c>
      <c r="K37" s="19">
        <v>7</v>
      </c>
      <c r="L37" t="s">
        <v>1978</v>
      </c>
    </row>
    <row r="38" spans="1:13" x14ac:dyDescent="0.25">
      <c r="B38" s="63" t="s">
        <v>14</v>
      </c>
      <c r="C38" t="s">
        <v>363</v>
      </c>
      <c r="D38" t="s">
        <v>1006</v>
      </c>
      <c r="G38" s="168"/>
      <c r="H38" s="63" t="s">
        <v>328</v>
      </c>
      <c r="J38" s="243" t="s">
        <v>1414</v>
      </c>
      <c r="K38" s="19">
        <v>7</v>
      </c>
      <c r="L38" t="s">
        <v>1010</v>
      </c>
    </row>
    <row r="39" spans="1:13" x14ac:dyDescent="0.25">
      <c r="A39" s="168"/>
      <c r="B39" s="63" t="s">
        <v>15</v>
      </c>
      <c r="C39" t="s">
        <v>363</v>
      </c>
      <c r="D39" s="223" t="s">
        <v>1036</v>
      </c>
      <c r="G39" s="168"/>
      <c r="H39" s="63" t="s">
        <v>412</v>
      </c>
      <c r="J39" s="243" t="s">
        <v>1421</v>
      </c>
      <c r="K39" s="19">
        <v>7</v>
      </c>
      <c r="L39" t="s">
        <v>1010</v>
      </c>
    </row>
    <row r="40" spans="1:13" x14ac:dyDescent="0.25">
      <c r="B40" s="63" t="s">
        <v>16</v>
      </c>
      <c r="C40" t="s">
        <v>365</v>
      </c>
      <c r="D40" t="s">
        <v>1434</v>
      </c>
      <c r="G40" s="168"/>
      <c r="H40" s="63" t="s">
        <v>413</v>
      </c>
      <c r="J40" s="243" t="s">
        <v>1414</v>
      </c>
      <c r="K40" s="19">
        <v>7</v>
      </c>
      <c r="L40" t="s">
        <v>1010</v>
      </c>
    </row>
    <row r="41" spans="1:13" x14ac:dyDescent="0.25">
      <c r="B41" s="63" t="s">
        <v>17</v>
      </c>
      <c r="C41" t="s">
        <v>365</v>
      </c>
      <c r="D41" t="s">
        <v>1432</v>
      </c>
      <c r="G41" s="168"/>
      <c r="H41" s="63" t="s">
        <v>414</v>
      </c>
      <c r="J41" s="243" t="s">
        <v>1414</v>
      </c>
      <c r="K41" s="19">
        <v>7</v>
      </c>
      <c r="L41" t="s">
        <v>1429</v>
      </c>
    </row>
    <row r="42" spans="1:13" x14ac:dyDescent="0.25">
      <c r="A42" s="168"/>
      <c r="B42" s="63" t="s">
        <v>850</v>
      </c>
      <c r="D42" t="s">
        <v>563</v>
      </c>
      <c r="G42" s="168"/>
      <c r="H42" s="9" t="s">
        <v>415</v>
      </c>
      <c r="J42" s="264" t="s">
        <v>417</v>
      </c>
      <c r="K42" s="19">
        <v>8</v>
      </c>
    </row>
    <row r="43" spans="1:13" x14ac:dyDescent="0.25">
      <c r="B43" s="63" t="s">
        <v>328</v>
      </c>
      <c r="C43" t="s">
        <v>342</v>
      </c>
      <c r="D43" t="s">
        <v>336</v>
      </c>
      <c r="G43" s="168"/>
      <c r="H43" s="9" t="s">
        <v>416</v>
      </c>
      <c r="J43" s="243" t="s">
        <v>1414</v>
      </c>
      <c r="K43" s="19">
        <v>9</v>
      </c>
      <c r="L43" t="s">
        <v>1009</v>
      </c>
    </row>
    <row r="44" spans="1:13" x14ac:dyDescent="0.25">
      <c r="A44" s="168"/>
      <c r="B44" s="63" t="s">
        <v>23</v>
      </c>
      <c r="C44" t="s">
        <v>24</v>
      </c>
      <c r="D44" t="s">
        <v>1434</v>
      </c>
      <c r="G44" s="13" t="s">
        <v>1425</v>
      </c>
    </row>
    <row r="45" spans="1:13" x14ac:dyDescent="0.25">
      <c r="A45" s="168"/>
      <c r="B45" s="63" t="s">
        <v>19</v>
      </c>
      <c r="C45" t="s">
        <v>366</v>
      </c>
      <c r="D45" t="s">
        <v>1434</v>
      </c>
      <c r="G45" s="9"/>
      <c r="H45" s="63" t="s">
        <v>1501</v>
      </c>
      <c r="I45" s="9"/>
      <c r="J45" s="243" t="s">
        <v>1417</v>
      </c>
      <c r="K45" s="19">
        <v>2</v>
      </c>
      <c r="L45" t="s">
        <v>1422</v>
      </c>
    </row>
    <row r="46" spans="1:13" x14ac:dyDescent="0.25">
      <c r="A46" s="168"/>
      <c r="B46" s="63" t="s">
        <v>20</v>
      </c>
      <c r="C46" t="s">
        <v>366</v>
      </c>
      <c r="D46" t="s">
        <v>1434</v>
      </c>
      <c r="G46" s="9"/>
      <c r="H46" s="63" t="s">
        <v>5</v>
      </c>
      <c r="I46" s="9"/>
      <c r="J46" s="243" t="s">
        <v>1417</v>
      </c>
      <c r="K46" s="19">
        <v>3</v>
      </c>
      <c r="L46" t="s">
        <v>450</v>
      </c>
    </row>
    <row r="47" spans="1:13" x14ac:dyDescent="0.25">
      <c r="A47" s="168"/>
      <c r="B47" s="63" t="s">
        <v>21</v>
      </c>
      <c r="C47" t="s">
        <v>1436</v>
      </c>
      <c r="D47" t="s">
        <v>1432</v>
      </c>
      <c r="G47" s="9"/>
      <c r="H47" s="63" t="s">
        <v>419</v>
      </c>
      <c r="I47" s="9"/>
      <c r="J47" s="243" t="s">
        <v>1417</v>
      </c>
      <c r="K47" s="19">
        <v>5</v>
      </c>
      <c r="L47" t="s">
        <v>1427</v>
      </c>
      <c r="M47" s="223"/>
    </row>
    <row r="48" spans="1:13" x14ac:dyDescent="0.25">
      <c r="B48" s="63" t="s">
        <v>701</v>
      </c>
      <c r="C48" t="s">
        <v>352</v>
      </c>
      <c r="D48" t="s">
        <v>336</v>
      </c>
      <c r="G48" s="9"/>
      <c r="H48" s="63" t="s">
        <v>635</v>
      </c>
      <c r="I48" s="9"/>
      <c r="J48" s="243" t="s">
        <v>1417</v>
      </c>
      <c r="K48" s="19">
        <v>5</v>
      </c>
      <c r="L48" t="s">
        <v>450</v>
      </c>
      <c r="M48" s="223"/>
    </row>
    <row r="49" spans="2:13" x14ac:dyDescent="0.25">
      <c r="B49" s="63" t="s">
        <v>872</v>
      </c>
      <c r="C49" t="s">
        <v>1435</v>
      </c>
      <c r="D49" t="s">
        <v>336</v>
      </c>
      <c r="G49" s="9"/>
      <c r="H49" s="63" t="s">
        <v>326</v>
      </c>
      <c r="I49" s="9"/>
      <c r="J49" s="243" t="s">
        <v>1417</v>
      </c>
      <c r="K49" s="19">
        <v>3</v>
      </c>
      <c r="L49" t="s">
        <v>450</v>
      </c>
    </row>
    <row r="50" spans="2:13" x14ac:dyDescent="0.25">
      <c r="G50" s="13" t="s">
        <v>1426</v>
      </c>
    </row>
    <row r="51" spans="2:13" x14ac:dyDescent="0.25">
      <c r="H51" t="s">
        <v>1430</v>
      </c>
      <c r="J51" s="243" t="s">
        <v>1417</v>
      </c>
      <c r="K51" s="19">
        <v>1</v>
      </c>
      <c r="L51" t="s">
        <v>1424</v>
      </c>
    </row>
    <row r="52" spans="2:13" x14ac:dyDescent="0.25">
      <c r="H52" t="s">
        <v>1501</v>
      </c>
      <c r="J52" s="243" t="s">
        <v>1417</v>
      </c>
      <c r="K52" s="19">
        <v>2</v>
      </c>
      <c r="L52" t="s">
        <v>1423</v>
      </c>
    </row>
    <row r="53" spans="2:13" x14ac:dyDescent="0.25">
      <c r="H53" t="s">
        <v>1431</v>
      </c>
      <c r="J53" s="243" t="s">
        <v>1417</v>
      </c>
      <c r="K53" s="19">
        <v>3</v>
      </c>
      <c r="L53" t="s">
        <v>555</v>
      </c>
    </row>
    <row r="54" spans="2:13" x14ac:dyDescent="0.25">
      <c r="H54" t="s">
        <v>419</v>
      </c>
      <c r="J54" s="243" t="s">
        <v>1417</v>
      </c>
      <c r="K54" s="19">
        <v>5</v>
      </c>
      <c r="L54" s="266">
        <v>2013</v>
      </c>
    </row>
    <row r="55" spans="2:13" x14ac:dyDescent="0.25">
      <c r="H55" t="s">
        <v>1428</v>
      </c>
      <c r="J55" s="243" t="s">
        <v>1417</v>
      </c>
      <c r="K55" s="19">
        <v>7</v>
      </c>
      <c r="L55" t="s">
        <v>555</v>
      </c>
    </row>
    <row r="56" spans="2:13" x14ac:dyDescent="0.25">
      <c r="H56" t="s">
        <v>554</v>
      </c>
      <c r="J56" s="243" t="s">
        <v>1417</v>
      </c>
      <c r="K56" s="19">
        <v>7</v>
      </c>
      <c r="L56" t="s">
        <v>555</v>
      </c>
    </row>
    <row r="57" spans="2:13" x14ac:dyDescent="0.25">
      <c r="H57" t="s">
        <v>612</v>
      </c>
      <c r="J57" s="243" t="s">
        <v>1417</v>
      </c>
      <c r="K57" s="19">
        <v>7</v>
      </c>
      <c r="L57" t="s">
        <v>555</v>
      </c>
      <c r="M57" s="223"/>
    </row>
  </sheetData>
  <sheetProtection sheet="1" objects="1" scenarios="1"/>
  <phoneticPr fontId="25" type="noConversion"/>
  <hyperlinks>
    <hyperlink ref="B3" location="Datasheet!A4" display="Net Buildout Change" xr:uid="{5B84BC98-89A0-4D93-812B-817CE21738FB}"/>
    <hyperlink ref="B10" location="Datasheet!A53" display="Growth by Use" xr:uid="{5806219C-0AC1-41F4-AE08-051FBCF04335}"/>
    <hyperlink ref="B11" location="Datasheet!A94" display="Growth by Location" xr:uid="{4822D6C6-3744-44F9-A7E2-9828723920FA}"/>
    <hyperlink ref="B12" location="Datasheet!A144" display="All Local Jobs (BEA)" xr:uid="{5CAB02E2-4B38-4434-B61B-51D8E3081574}"/>
    <hyperlink ref="B15" location="Datasheet!A190" display="Local Wage Jobs (QCEW)" xr:uid="{E8EDF3F3-9507-4288-9F27-82E070A32C82}"/>
    <hyperlink ref="B4" location="ConsevationBuildoutTracker!A1" display="Conservation Easements" xr:uid="{1E250D26-F6F2-4BF7-BCA8-21A8A43DB320}"/>
    <hyperlink ref="B5" location="ConsevationBuildoutTracker!A1" display="Public, Private Land Transfers" xr:uid="{43AF065B-3611-4BCF-A33E-4F3801270D19}"/>
    <hyperlink ref="B7" location="ConsevationBuildoutTracker!A1" display="LDR Amendements, Zone Changes, PUDs" xr:uid="{70709777-C4DF-463A-93E6-B8A27E738173}"/>
    <hyperlink ref="B8" location="ConsevationBuildoutTracker!A1" display="Workforce Housing Bonus Units" xr:uid="{DCE314C5-7058-4464-8CC7-7E4984435DE8}"/>
    <hyperlink ref="B9" location="ConsevationBuildoutTracker!A1" display="CN-PRD Bonus Units" xr:uid="{264F9384-DBD0-4314-B4B7-ADAB16A9BD41}"/>
    <hyperlink ref="B16" location="Datasheet!A210" display="Employed Population (LAUS)" xr:uid="{A0098E13-F58D-4DAB-AA94-D7164E486931}"/>
    <hyperlink ref="B20" location="Datasheet!A243" display="Workers by Workplace Geography" xr:uid="{032E4281-2E58-43B3-ACD9-D03752EDDB7F}"/>
    <hyperlink ref="B21" location="Datasheet!A265" display="Permanent Population" xr:uid="{8731C69A-2281-4E62-BA14-C9AC7BC8179D}"/>
    <hyperlink ref="B22" location="Datasheet!A277" display="Average Household Size" xr:uid="{93DB08C0-AE2A-4BF5-B581-C9819786E89B}"/>
    <hyperlink ref="B23" location="Datasheet!A277" display="Housing Tenure" xr:uid="{9065101B-38F4-4394-9584-438F8A57FEA1}"/>
    <hyperlink ref="B24" location="Datasheet!A314" display="2nd/Seasonal Vacant Homes" xr:uid="{D4F79372-61CD-486C-A90B-DA9E39940F19}"/>
    <hyperlink ref="B25" location="Datasheet!A357" display="Active Commute Mode Share" xr:uid="{A7BB5AA3-AC4F-461F-A46E-71FC3DDFFE76}"/>
    <hyperlink ref="B26" location="Datasheet!A369" display="Employed Households" xr:uid="{5D6B2279-E541-4D6C-9BE1-31BAEAA90ECD}"/>
    <hyperlink ref="B27" location="Datasheet!A369" display="Median Income (ACS)" xr:uid="{C06CA97A-1116-43EA-A471-D661EDE54A49}"/>
    <hyperlink ref="B43" location="Datasheet!A546" display="START Ridership" xr:uid="{3B4BC7A6-D5E1-4467-A16B-511F3F87DFCC}"/>
    <hyperlink ref="B44" location="Datasheet!A566" display="Wildlife Vehicle Collisions" xr:uid="{532D3E3A-B9F8-4A0E-BEB6-A1C7662CAB6D}"/>
    <hyperlink ref="B45" location="Datasheet!A583" display="LVE Electricity" xr:uid="{BEC86AA3-BD04-4014-859E-3B999FB9DACB}"/>
    <hyperlink ref="B46" location="Datasheet!A583" display="LVE Gas" xr:uid="{BD65E7E4-AEC2-492E-90C0-F867D36296EF}"/>
    <hyperlink ref="B39" location="Datasheet!A496" display="YNP Overnight Visistors" xr:uid="{126C650A-4003-49F2-B5DC-699E44636EB6}"/>
    <hyperlink ref="B38" location="Datasheet!A476" display="GTNP Overnight Visitors" xr:uid="{1FCD4764-E125-4F0D-A2F7-C7025A382DC0}"/>
    <hyperlink ref="B37" location="Datasheet!A468" display="CTNF Campground Occupancy" xr:uid="{D976E07A-A5DB-49E2-9A77-285CD9FFCF95}"/>
    <hyperlink ref="B36" location="Datasheet!A440" display="BTNF Campround Occupancy" xr:uid="{5C6BC82E-E37E-4765-9955-79B97D3F661A}"/>
    <hyperlink ref="B35" location="Datasheet!A418" display="Lodging Occupancy" xr:uid="{781A5F4A-E6F2-4434-9FDD-ED99947104A2}"/>
    <hyperlink ref="B28" location="Datasheet!A418" display="Median Income (HUD)" xr:uid="{60DFF034-FAFD-451F-A800-0BA5E1A59007}"/>
    <hyperlink ref="B6" location="ConsevationBuildoutTracker!A1" display="Rural Area Subdivisions" xr:uid="{A1460B06-B089-440F-8AAE-8B1DB91FC87C}"/>
    <hyperlink ref="B42" location="Datasheet!A1089" display="Travel time" xr:uid="{64360C72-1FB9-4BBD-A65B-058DB28E65DF}"/>
    <hyperlink ref="B13" location="Datasheet!A276" display="Gross Domestic Product" xr:uid="{8171EC2D-D384-4DEA-9AED-964524006FC8}"/>
    <hyperlink ref="B14" location="Datasheet!A323" display="Per capita Income" xr:uid="{A5DE6803-E8CD-4E13-9B57-9C743CD1FEF1}"/>
    <hyperlink ref="B17" location="Datasheet!A419" display="Work Area Profile" xr:uid="{8E85B698-DA6B-48C6-9D33-EBDE2230E98A}"/>
    <hyperlink ref="B18" location="Datasheet!A513" display="Destinations (Residence-Workplace)" xr:uid="{0B909046-442C-4715-AEAD-7A48EB1C36CB}"/>
    <hyperlink ref="B19" location="Datasheet!A571" display="Household and Family Size" xr:uid="{86EBCE53-F8AF-4B81-A051-8872882F1BBA}"/>
    <hyperlink ref="B30" location="Datasheet!A780" display="Single-Family Home Price" xr:uid="{66ECF12D-64BF-4410-84C9-5D43AB125B5F}"/>
    <hyperlink ref="B31" location="Datasheet!A789" display="Home Price" xr:uid="{16D701EF-5DB9-4E99-8282-110280CFE572}"/>
    <hyperlink ref="B32" location="Datasheet!A799" display="Other Costs of Living" xr:uid="{9E8E259A-4F59-4EA0-82A1-9D35AEA5256C}"/>
    <hyperlink ref="B33" location="Datasheet!A811" display="Restricted Units" xr:uid="{D4B88D0C-7A13-46E2-99DA-390530979489}"/>
    <hyperlink ref="B34" location="Datasheet!A834" display="Workforce Housing Pipeline" xr:uid="{7FCCD09F-4A0C-44B1-BBA0-151C53C40B60}"/>
    <hyperlink ref="B40" location="Datasheet!A1003" display="Daily VMT" xr:uid="{AEDDDF19-B4E4-478F-A692-A48CD0731A29}"/>
    <hyperlink ref="B41" location="Datasheet!A1012" display="ATR Monthly Avearge Weekday Daily Traffic" xr:uid="{1867ABDC-6A21-4789-9E5A-B62932332D63}"/>
    <hyperlink ref="B47" location="Datasheet!A1234" display="Enplanements" xr:uid="{7EAFD065-C402-4F57-8FDD-FF9648B46FE0}"/>
    <hyperlink ref="B48" location="Datasheet!A1267" display="Educational Facilities Inventory" xr:uid="{9F80C203-4E11-47A2-A173-882B013D6877}"/>
    <hyperlink ref="B49" location="Datasheet!A1296" display="Comprehensive Plan Implementation" xr:uid="{EA1E6C42-4A20-444F-BFAC-8519A8059987}"/>
    <hyperlink ref="I26:I28" location="Indicators!A612" display="Summer Effective Population" xr:uid="{019EFE65-117D-4A8B-AF1F-583432307030}"/>
    <hyperlink ref="H21" location="Datasheet!A522" display="Annual Growth Rate Comparison" xr:uid="{A3E44DC5-5860-4840-84E8-30EC48A2BB7D}"/>
    <hyperlink ref="H5" location="Indicators!A15" display="Conservation vs. Subdivision of Rural Areas" xr:uid="{2F297ABF-4759-4E4E-974C-3A08A5E0EC06}"/>
    <hyperlink ref="H9" location="Indicators!A106" display="Greenhouse Gas Emissions" xr:uid="{87037843-018A-425E-A788-0B6D4C1CC247}"/>
    <hyperlink ref="H10" location="Indicators!A185" display="Location of Actual Growth" xr:uid="{914F2973-A3EE-40FF-ADFC-59B62E02DBD5}"/>
    <hyperlink ref="H11" location="Indicators!A214" display="Location of Potential Growth" xr:uid="{1B0195A2-3EBE-4019-BCFD-98D0E9CA2F6D}"/>
    <hyperlink ref="H12" location="Indicators!A247" display="Amount of Potential Growth" xr:uid="{03C4C219-D853-4F3A-909A-151B446C9D3D}"/>
    <hyperlink ref="H13" location="Indicators!A271" display="Workforce Housing Pipeline" xr:uid="{B674A2CA-B440-4347-AB44-D0D1BD8C6DEB}"/>
    <hyperlink ref="H14:H18" location="Indicators!A306" display="Percentage of Jobs in Town" xr:uid="{44FC34B4-F7AB-4E1B-8E70-44FA210F094D}"/>
    <hyperlink ref="H19" location="Indicators!A351" display="Percentage of the Workforce Living Locally" xr:uid="{86900C8F-222A-48F7-BF0F-6457063BF1CD}"/>
    <hyperlink ref="H20" location="Indicators!A467" display="Housing Stock Profile" xr:uid="{D9C11CD4-D470-458D-8E2E-78C79CE3E6C3}"/>
    <hyperlink ref="H35" location="Indicators!A790" display="Lodging Occupancy" xr:uid="{D544798B-F0D6-4C98-842D-EFE0F0766E9F}"/>
    <hyperlink ref="H36" location="Indicators!A820" display="Jobs by Industry" xr:uid="{A592A046-860C-42AF-A6D9-B0D49AA5B536}"/>
    <hyperlink ref="H38" location="Indicators!A879" display="START Ridership" xr:uid="{87F8559D-5D52-4F6A-B8F2-7E2139753D7A}"/>
    <hyperlink ref="H39" location="Indicators!A923" display="Walk/Bike Modeshare" xr:uid="{166ED2E5-B015-4410-8B34-669367F8E099}"/>
    <hyperlink ref="H40" location="Indicators!A954" display="Capital Project Group Benchmarks" xr:uid="{0501999A-4BBE-4663-81CF-7B9FCB43A370}"/>
    <hyperlink ref="H41" location="Indicators!A1035" display="Wildlife Vehicle Collissions" xr:uid="{5CA2D386-EA02-4CA6-BC60-9E8AA8AD1A09}"/>
    <hyperlink ref="H45" location="Indicators!A1086" display="Energy Load" xr:uid="{2A7DAA9E-9242-4846-8E5D-C873D4F953A2}"/>
    <hyperlink ref="H46" location="Indicators!A1121" display="Growth by Use" xr:uid="{B63BB018-E420-4B39-8AAB-02BC2A3685C5}"/>
    <hyperlink ref="H47" location="Indicators!A1375" display="Percentage of Workforce Living Locally" xr:uid="{3C148228-E034-40A8-A0D1-8D5557599E4B}"/>
    <hyperlink ref="H48" location="Indicators!A1414" display="Housing Affordability" xr:uid="{832C5093-5629-425B-90AE-E35D91E724DD}"/>
    <hyperlink ref="H49" location="Indicators!A1284" display="Effective Population" xr:uid="{D1AD2ED2-D36E-40CB-8CD3-2ACE06E760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6F18C-DEBC-4089-8F2D-70BD295B8BF6}">
  <dimension ref="A1:AK1366"/>
  <sheetViews>
    <sheetView zoomScaleNormal="100" workbookViewId="0">
      <pane xSplit="8" ySplit="2" topLeftCell="I3" activePane="bottomRight" state="frozen"/>
      <selection pane="topRight" activeCell="I1" sqref="I1"/>
      <selection pane="bottomLeft" activeCell="A3" sqref="A3"/>
      <selection pane="bottomRight" activeCell="B270" sqref="B270"/>
    </sheetView>
  </sheetViews>
  <sheetFormatPr defaultRowHeight="15" x14ac:dyDescent="0.25"/>
  <cols>
    <col min="1" max="1" width="3.7109375" customWidth="1"/>
    <col min="2" max="2" width="10.7109375" style="1" customWidth="1"/>
    <col min="3" max="5" width="3.7109375" customWidth="1"/>
    <col min="6" max="6" width="3.5703125" customWidth="1"/>
    <col min="7" max="7" width="45.85546875" customWidth="1"/>
    <col min="8" max="8" width="50.42578125" customWidth="1"/>
    <col min="9" max="25" width="11.42578125" customWidth="1"/>
    <col min="26" max="26" width="15.5703125" customWidth="1"/>
    <col min="27" max="27" width="13" bestFit="1" customWidth="1"/>
    <col min="28" max="37" width="11.42578125" customWidth="1"/>
  </cols>
  <sheetData>
    <row r="1" spans="1:37" ht="20.25" thickBot="1" x14ac:dyDescent="0.3">
      <c r="A1" s="10" t="s">
        <v>44</v>
      </c>
      <c r="B1" s="11"/>
      <c r="C1" s="12"/>
      <c r="D1" s="12"/>
      <c r="E1" s="12"/>
      <c r="F1" s="12"/>
      <c r="G1" s="12"/>
      <c r="H1" s="191"/>
    </row>
    <row r="2" spans="1:37" s="5" customFormat="1" x14ac:dyDescent="0.25">
      <c r="B2" s="6"/>
      <c r="H2" s="5" t="s">
        <v>1014</v>
      </c>
      <c r="I2" s="5">
        <v>2002</v>
      </c>
      <c r="J2" s="5">
        <v>2003</v>
      </c>
      <c r="K2" s="5">
        <v>2004</v>
      </c>
      <c r="L2" s="5">
        <v>2005</v>
      </c>
      <c r="M2" s="5">
        <v>2006</v>
      </c>
      <c r="N2" s="5">
        <v>2007</v>
      </c>
      <c r="O2" s="5">
        <v>2008</v>
      </c>
      <c r="P2" s="5">
        <v>2009</v>
      </c>
      <c r="Q2" s="5">
        <v>2010</v>
      </c>
      <c r="R2" s="5">
        <v>2011</v>
      </c>
      <c r="S2" s="5">
        <v>2012</v>
      </c>
      <c r="T2" s="5">
        <v>2013</v>
      </c>
      <c r="U2" s="5">
        <v>2014</v>
      </c>
      <c r="V2" s="5">
        <v>2015</v>
      </c>
      <c r="W2" s="5">
        <v>2016</v>
      </c>
      <c r="X2" s="5">
        <v>2017</v>
      </c>
      <c r="Y2" s="5">
        <v>2018</v>
      </c>
      <c r="Z2" s="5">
        <v>2019</v>
      </c>
      <c r="AA2" s="5">
        <v>2020</v>
      </c>
      <c r="AB2" s="5">
        <v>2021</v>
      </c>
      <c r="AC2" s="5">
        <v>2022</v>
      </c>
      <c r="AD2" s="5">
        <v>2023</v>
      </c>
      <c r="AE2" s="5">
        <v>2024</v>
      </c>
      <c r="AF2" s="5">
        <v>2025</v>
      </c>
      <c r="AG2" s="5">
        <v>2026</v>
      </c>
      <c r="AH2" s="5">
        <v>2027</v>
      </c>
      <c r="AI2" s="5">
        <v>2028</v>
      </c>
      <c r="AJ2" s="5">
        <v>2029</v>
      </c>
      <c r="AK2" s="5">
        <v>2030</v>
      </c>
    </row>
    <row r="3" spans="1:37" s="7" customFormat="1" x14ac:dyDescent="0.25">
      <c r="B3" s="8"/>
    </row>
    <row r="4" spans="1:37" s="35" customFormat="1" ht="17.25" x14ac:dyDescent="0.3">
      <c r="A4" s="37" t="s">
        <v>39</v>
      </c>
      <c r="B4" s="36"/>
    </row>
    <row r="5" spans="1:37" x14ac:dyDescent="0.25">
      <c r="B5" s="64" t="s">
        <v>31</v>
      </c>
      <c r="C5" t="s">
        <v>30</v>
      </c>
    </row>
    <row r="6" spans="1:37" x14ac:dyDescent="0.25">
      <c r="C6" t="s">
        <v>40</v>
      </c>
    </row>
    <row r="7" spans="1:37" x14ac:dyDescent="0.25">
      <c r="C7" t="s">
        <v>4</v>
      </c>
    </row>
    <row r="8" spans="1:37" x14ac:dyDescent="0.25">
      <c r="C8" t="s">
        <v>1554</v>
      </c>
    </row>
    <row r="9" spans="1:37" x14ac:dyDescent="0.25">
      <c r="D9" s="13" t="s">
        <v>343</v>
      </c>
    </row>
    <row r="10" spans="1:37" x14ac:dyDescent="0.25">
      <c r="D10" s="63" t="s">
        <v>1555</v>
      </c>
    </row>
    <row r="11" spans="1:37" x14ac:dyDescent="0.25">
      <c r="B11" s="64" t="s">
        <v>32</v>
      </c>
      <c r="C11" s="195" t="s">
        <v>398</v>
      </c>
      <c r="G11" s="9"/>
      <c r="H11" s="9"/>
    </row>
    <row r="12" spans="1:37" s="223" customFormat="1" x14ac:dyDescent="0.25">
      <c r="B12" s="64"/>
      <c r="C12" s="195" t="s">
        <v>426</v>
      </c>
      <c r="G12" s="9"/>
      <c r="H12" s="9"/>
    </row>
    <row r="13" spans="1:37" x14ac:dyDescent="0.25">
      <c r="B13" s="64"/>
      <c r="C13" s="195" t="s">
        <v>427</v>
      </c>
      <c r="G13" s="9"/>
      <c r="H13" s="9"/>
    </row>
    <row r="14" spans="1:37" x14ac:dyDescent="0.25">
      <c r="B14" s="64" t="s">
        <v>331</v>
      </c>
      <c r="C14" t="s">
        <v>338</v>
      </c>
    </row>
    <row r="15" spans="1:37" x14ac:dyDescent="0.25">
      <c r="B15" s="64"/>
      <c r="C15" t="s">
        <v>431</v>
      </c>
    </row>
    <row r="16" spans="1:37" x14ac:dyDescent="0.25">
      <c r="B16" s="64" t="s">
        <v>332</v>
      </c>
      <c r="C16" t="s">
        <v>1556</v>
      </c>
    </row>
    <row r="17" spans="2:37" s="34" customFormat="1" ht="15.75" thickBot="1" x14ac:dyDescent="0.3">
      <c r="B17" s="65" t="s">
        <v>334</v>
      </c>
      <c r="C17" s="34" t="s">
        <v>339</v>
      </c>
    </row>
    <row r="18" spans="2:37" s="13" customFormat="1" ht="15.75" thickTop="1" x14ac:dyDescent="0.25">
      <c r="B18" s="66" t="s">
        <v>34</v>
      </c>
      <c r="C18" s="15" t="s">
        <v>35</v>
      </c>
      <c r="H18" s="13" t="s">
        <v>1015</v>
      </c>
      <c r="I18" s="62"/>
      <c r="J18" s="62"/>
      <c r="K18" s="62"/>
      <c r="L18" s="62"/>
      <c r="M18" s="62"/>
      <c r="N18" s="62">
        <f t="shared" ref="N18:AK18" si="0">SUM(N19,N22,N25,N28,N31)</f>
        <v>-81</v>
      </c>
      <c r="O18" s="62">
        <f t="shared" si="0"/>
        <v>12</v>
      </c>
      <c r="P18" s="62">
        <f t="shared" si="0"/>
        <v>18</v>
      </c>
      <c r="Q18" s="62">
        <f t="shared" si="0"/>
        <v>-1</v>
      </c>
      <c r="R18" s="62">
        <f t="shared" si="0"/>
        <v>67</v>
      </c>
      <c r="S18" s="62">
        <f t="shared" si="0"/>
        <v>-32</v>
      </c>
      <c r="T18" s="62">
        <f t="shared" si="0"/>
        <v>-12</v>
      </c>
      <c r="U18" s="62">
        <f t="shared" si="0"/>
        <v>-14</v>
      </c>
      <c r="V18" s="62">
        <f t="shared" si="0"/>
        <v>-2195</v>
      </c>
      <c r="W18" s="62">
        <f t="shared" si="0"/>
        <v>-75.599999999999994</v>
      </c>
      <c r="X18" s="62">
        <f t="shared" si="0"/>
        <v>13</v>
      </c>
      <c r="Y18" s="62">
        <f t="shared" si="0"/>
        <v>126.57239999999999</v>
      </c>
      <c r="Z18" s="62">
        <f t="shared" si="0"/>
        <v>5</v>
      </c>
      <c r="AA18" s="62">
        <f t="shared" si="0"/>
        <v>36</v>
      </c>
      <c r="AB18" s="62">
        <f t="shared" si="0"/>
        <v>0</v>
      </c>
      <c r="AC18" s="62">
        <f t="shared" si="0"/>
        <v>0</v>
      </c>
      <c r="AD18" s="62">
        <f t="shared" si="0"/>
        <v>0</v>
      </c>
      <c r="AE18" s="62">
        <f t="shared" si="0"/>
        <v>0</v>
      </c>
      <c r="AF18" s="62">
        <f t="shared" si="0"/>
        <v>0</v>
      </c>
      <c r="AG18" s="62">
        <f t="shared" si="0"/>
        <v>0</v>
      </c>
      <c r="AH18" s="62">
        <f t="shared" si="0"/>
        <v>0</v>
      </c>
      <c r="AI18" s="62">
        <f t="shared" si="0"/>
        <v>0</v>
      </c>
      <c r="AJ18" s="62">
        <f t="shared" si="0"/>
        <v>0</v>
      </c>
      <c r="AK18" s="62">
        <f t="shared" si="0"/>
        <v>0</v>
      </c>
    </row>
    <row r="19" spans="2:37" s="16" customFormat="1" x14ac:dyDescent="0.25">
      <c r="B19" s="17"/>
      <c r="D19" s="16" t="s">
        <v>41</v>
      </c>
      <c r="H19" s="16" t="s">
        <v>1015</v>
      </c>
      <c r="I19" s="61"/>
      <c r="J19" s="61"/>
      <c r="K19" s="61"/>
      <c r="L19" s="61"/>
      <c r="M19" s="61"/>
      <c r="N19" s="61">
        <f t="shared" ref="N19:AK19" si="1">SUM(N20:N21)</f>
        <v>8</v>
      </c>
      <c r="O19" s="61">
        <f t="shared" si="1"/>
        <v>17</v>
      </c>
      <c r="P19" s="61">
        <f t="shared" si="1"/>
        <v>20</v>
      </c>
      <c r="Q19" s="61">
        <f t="shared" si="1"/>
        <v>0</v>
      </c>
      <c r="R19" s="61">
        <f t="shared" si="1"/>
        <v>68</v>
      </c>
      <c r="S19" s="61">
        <f t="shared" si="1"/>
        <v>-1</v>
      </c>
      <c r="T19" s="61">
        <f t="shared" si="1"/>
        <v>0</v>
      </c>
      <c r="U19" s="61">
        <f t="shared" si="1"/>
        <v>0</v>
      </c>
      <c r="V19" s="61">
        <f t="shared" si="1"/>
        <v>-2101</v>
      </c>
      <c r="W19" s="61">
        <f t="shared" si="1"/>
        <v>-39</v>
      </c>
      <c r="X19" s="61">
        <f t="shared" si="1"/>
        <v>16</v>
      </c>
      <c r="Y19" s="61">
        <f t="shared" si="1"/>
        <v>132.57239999999999</v>
      </c>
      <c r="Z19" s="61">
        <f t="shared" si="1"/>
        <v>0</v>
      </c>
      <c r="AA19" s="61">
        <f t="shared" si="1"/>
        <v>13</v>
      </c>
      <c r="AB19" s="61">
        <f t="shared" si="1"/>
        <v>0</v>
      </c>
      <c r="AC19" s="61">
        <f t="shared" si="1"/>
        <v>0</v>
      </c>
      <c r="AD19" s="61">
        <f t="shared" si="1"/>
        <v>0</v>
      </c>
      <c r="AE19" s="61">
        <f t="shared" si="1"/>
        <v>0</v>
      </c>
      <c r="AF19" s="61">
        <f t="shared" si="1"/>
        <v>0</v>
      </c>
      <c r="AG19" s="61">
        <f t="shared" si="1"/>
        <v>0</v>
      </c>
      <c r="AH19" s="61">
        <f t="shared" si="1"/>
        <v>0</v>
      </c>
      <c r="AI19" s="61">
        <f t="shared" si="1"/>
        <v>0</v>
      </c>
      <c r="AJ19" s="61">
        <f t="shared" si="1"/>
        <v>0</v>
      </c>
      <c r="AK19" s="61">
        <f t="shared" si="1"/>
        <v>0</v>
      </c>
    </row>
    <row r="20" spans="2:37" x14ac:dyDescent="0.25">
      <c r="E20" t="s">
        <v>36</v>
      </c>
      <c r="H20" t="s">
        <v>1015</v>
      </c>
      <c r="I20" s="59"/>
      <c r="J20" s="59"/>
      <c r="K20" s="59"/>
      <c r="L20" s="59"/>
      <c r="M20" s="59"/>
      <c r="N20" s="59">
        <v>9</v>
      </c>
      <c r="O20" s="59">
        <v>18</v>
      </c>
      <c r="P20" s="59">
        <v>20</v>
      </c>
      <c r="Q20" s="59">
        <v>0</v>
      </c>
      <c r="R20" s="59">
        <v>68</v>
      </c>
      <c r="S20" s="59">
        <v>0</v>
      </c>
      <c r="T20" s="59">
        <v>0</v>
      </c>
      <c r="U20" s="59">
        <v>0</v>
      </c>
      <c r="V20" s="59">
        <v>256</v>
      </c>
      <c r="W20" s="59">
        <f>SUMIFS(ConsevationBuildoutTracker!$T$16:$T$299,ConsevationBuildoutTracker!$E$16:$E$299,"AMD",ConsevationBuildoutTracker!$G$16:$G$299,"CN",ConsevationBuildoutTracker!$I$16:$I$299,W$2)</f>
        <v>-39</v>
      </c>
      <c r="X20" s="59">
        <f>SUMIFS(ConsevationBuildoutTracker!$T$16:$T$299,ConsevationBuildoutTracker!$E$16:$E$299,"AMD",ConsevationBuildoutTracker!$G$16:$G$299,"CN",ConsevationBuildoutTracker!$I$16:$I$299,X$2)</f>
        <v>15</v>
      </c>
      <c r="Y20" s="59">
        <f>SUMIFS(ConsevationBuildoutTracker!$T$16:$T$299,ConsevationBuildoutTracker!$E$16:$E$299,"AMD",ConsevationBuildoutTracker!$G$16:$G$299,"CN",ConsevationBuildoutTracker!$I$16:$I$299,Y$2)</f>
        <v>132.57239999999999</v>
      </c>
      <c r="Z20" s="59">
        <f>SUMIFS(ConsevationBuildoutTracker!$T$16:$T$299,ConsevationBuildoutTracker!$E$16:$E$299,"AMD",ConsevationBuildoutTracker!$G$16:$G$299,"CN",ConsevationBuildoutTracker!$I$16:$I$299,Z$2)</f>
        <v>0</v>
      </c>
      <c r="AA20" s="59">
        <f>SUMIFS(ConsevationBuildoutTracker!$T$16:$T$299,ConsevationBuildoutTracker!$E$16:$E$299,"AMD",ConsevationBuildoutTracker!$G$16:$G$299,"CN",ConsevationBuildoutTracker!$I$16:$I$299,AA$2)</f>
        <v>13</v>
      </c>
      <c r="AB20" s="59">
        <f>SUMIFS(ConsevationBuildoutTracker!$T$16:$T$299,ConsevationBuildoutTracker!$E$16:$E$299,"AMD",ConsevationBuildoutTracker!$G$16:$G$299,"CN",ConsevationBuildoutTracker!$I$16:$I$299,AB$2)</f>
        <v>0</v>
      </c>
      <c r="AC20" s="59">
        <f>SUMIFS(ConsevationBuildoutTracker!$T$16:$T$299,ConsevationBuildoutTracker!$E$16:$E$299,"AMD",ConsevationBuildoutTracker!$G$16:$G$299,"CN",ConsevationBuildoutTracker!$I$16:$I$299,AC$2)</f>
        <v>0</v>
      </c>
      <c r="AD20" s="59">
        <f>SUMIFS(ConsevationBuildoutTracker!$T$16:$T$299,ConsevationBuildoutTracker!$E$16:$E$299,"AMD",ConsevationBuildoutTracker!$G$16:$G$299,"CN",ConsevationBuildoutTracker!$I$16:$I$299,AD$2)</f>
        <v>0</v>
      </c>
      <c r="AE20" s="59">
        <f>SUMIFS(ConsevationBuildoutTracker!$T$16:$T$299,ConsevationBuildoutTracker!$E$16:$E$299,"AMD",ConsevationBuildoutTracker!$G$16:$G$299,"CN",ConsevationBuildoutTracker!$I$16:$I$299,AE$2)</f>
        <v>0</v>
      </c>
      <c r="AF20" s="59">
        <f>SUMIFS(ConsevationBuildoutTracker!$T$16:$T$299,ConsevationBuildoutTracker!$E$16:$E$299,"AMD",ConsevationBuildoutTracker!$G$16:$G$299,"CN",ConsevationBuildoutTracker!$I$16:$I$299,AF$2)</f>
        <v>0</v>
      </c>
      <c r="AG20" s="59">
        <f>SUMIFS(ConsevationBuildoutTracker!$T$16:$T$299,ConsevationBuildoutTracker!$E$16:$E$299,"AMD",ConsevationBuildoutTracker!$G$16:$G$299,"CN",ConsevationBuildoutTracker!$I$16:$I$299,AG$2)</f>
        <v>0</v>
      </c>
      <c r="AH20" s="59">
        <f>SUMIFS(ConsevationBuildoutTracker!$T$16:$T$299,ConsevationBuildoutTracker!$E$16:$E$299,"AMD",ConsevationBuildoutTracker!$G$16:$G$299,"CN",ConsevationBuildoutTracker!$I$16:$I$299,AH$2)</f>
        <v>0</v>
      </c>
      <c r="AI20" s="59">
        <f>SUMIFS(ConsevationBuildoutTracker!$T$16:$T$299,ConsevationBuildoutTracker!$E$16:$E$299,"AMD",ConsevationBuildoutTracker!$G$16:$G$299,"CN",ConsevationBuildoutTracker!$I$16:$I$299,AI$2)</f>
        <v>0</v>
      </c>
      <c r="AJ20" s="59">
        <f>SUMIFS(ConsevationBuildoutTracker!$T$16:$T$299,ConsevationBuildoutTracker!$E$16:$E$299,"AMD",ConsevationBuildoutTracker!$G$16:$G$299,"CN",ConsevationBuildoutTracker!$I$16:$I$299,AJ$2)</f>
        <v>0</v>
      </c>
      <c r="AK20" s="59">
        <f>SUMIFS(ConsevationBuildoutTracker!$T$16:$T$299,ConsevationBuildoutTracker!$E$16:$E$299,"AMD",ConsevationBuildoutTracker!$G$16:$G$299,"CN",ConsevationBuildoutTracker!$I$16:$I$299,AK$2)</f>
        <v>0</v>
      </c>
    </row>
    <row r="21" spans="2:37" x14ac:dyDescent="0.25">
      <c r="E21" t="s">
        <v>37</v>
      </c>
      <c r="H21" t="s">
        <v>1015</v>
      </c>
      <c r="I21" s="59"/>
      <c r="J21" s="59"/>
      <c r="K21" s="59"/>
      <c r="L21" s="59"/>
      <c r="M21" s="59"/>
      <c r="N21" s="59">
        <v>-1</v>
      </c>
      <c r="O21" s="59">
        <v>-1</v>
      </c>
      <c r="P21" s="59">
        <v>0</v>
      </c>
      <c r="Q21" s="59">
        <v>0</v>
      </c>
      <c r="R21" s="59">
        <v>0</v>
      </c>
      <c r="S21" s="59">
        <v>-1</v>
      </c>
      <c r="T21" s="59">
        <v>0</v>
      </c>
      <c r="U21" s="59">
        <v>0</v>
      </c>
      <c r="V21" s="59">
        <v>-2357</v>
      </c>
      <c r="W21" s="59">
        <f>SUMIFS(ConsevationBuildoutTracker!$T$16:$T$299,ConsevationBuildoutTracker!$E$16:$E$299,"AMD",ConsevationBuildoutTracker!$G$16:$G$299,"R",ConsevationBuildoutTracker!$I$16:$I$299,W$2)</f>
        <v>0</v>
      </c>
      <c r="X21" s="59">
        <f>SUMIFS(ConsevationBuildoutTracker!$T$16:$T$299,ConsevationBuildoutTracker!$E$16:$E$299,"AMD",ConsevationBuildoutTracker!$G$16:$G$299,"R",ConsevationBuildoutTracker!$I$16:$I$299,X$2)</f>
        <v>1</v>
      </c>
      <c r="Y21" s="59">
        <f>SUMIFS(ConsevationBuildoutTracker!$T$16:$T$299,ConsevationBuildoutTracker!$E$16:$E$299,"AMD",ConsevationBuildoutTracker!$G$16:$G$299,"R",ConsevationBuildoutTracker!$I$16:$I$299,Y$2)</f>
        <v>0</v>
      </c>
      <c r="Z21" s="59">
        <f>SUMIFS(ConsevationBuildoutTracker!$T$16:$T$299,ConsevationBuildoutTracker!$E$16:$E$299,"AMD",ConsevationBuildoutTracker!$G$16:$G$299,"R",ConsevationBuildoutTracker!$I$16:$I$299,Z$2)</f>
        <v>0</v>
      </c>
      <c r="AA21" s="59">
        <f>SUMIFS(ConsevationBuildoutTracker!$T$16:$T$299,ConsevationBuildoutTracker!$E$16:$E$299,"AMD",ConsevationBuildoutTracker!$G$16:$G$299,"R",ConsevationBuildoutTracker!$I$16:$I$299,AA$2)</f>
        <v>0</v>
      </c>
      <c r="AB21" s="59">
        <f>SUMIFS(ConsevationBuildoutTracker!$T$16:$T$299,ConsevationBuildoutTracker!$E$16:$E$299,"AMD",ConsevationBuildoutTracker!$G$16:$G$299,"R",ConsevationBuildoutTracker!$I$16:$I$299,AB$2)</f>
        <v>0</v>
      </c>
      <c r="AC21" s="59">
        <f>SUMIFS(ConsevationBuildoutTracker!$T$16:$T$299,ConsevationBuildoutTracker!$E$16:$E$299,"AMD",ConsevationBuildoutTracker!$G$16:$G$299,"R",ConsevationBuildoutTracker!$I$16:$I$299,AC$2)</f>
        <v>0</v>
      </c>
      <c r="AD21" s="59">
        <f>SUMIFS(ConsevationBuildoutTracker!$T$16:$T$299,ConsevationBuildoutTracker!$E$16:$E$299,"AMD",ConsevationBuildoutTracker!$G$16:$G$299,"R",ConsevationBuildoutTracker!$I$16:$I$299,AD$2)</f>
        <v>0</v>
      </c>
      <c r="AE21" s="59">
        <f>SUMIFS(ConsevationBuildoutTracker!$T$16:$T$299,ConsevationBuildoutTracker!$E$16:$E$299,"AMD",ConsevationBuildoutTracker!$G$16:$G$299,"R",ConsevationBuildoutTracker!$I$16:$I$299,AE$2)</f>
        <v>0</v>
      </c>
      <c r="AF21" s="59">
        <f>SUMIFS(ConsevationBuildoutTracker!$T$16:$T$299,ConsevationBuildoutTracker!$E$16:$E$299,"AMD",ConsevationBuildoutTracker!$G$16:$G$299,"R",ConsevationBuildoutTracker!$I$16:$I$299,AF$2)</f>
        <v>0</v>
      </c>
      <c r="AG21" s="59">
        <f>SUMIFS(ConsevationBuildoutTracker!$T$16:$T$299,ConsevationBuildoutTracker!$E$16:$E$299,"AMD",ConsevationBuildoutTracker!$G$16:$G$299,"R",ConsevationBuildoutTracker!$I$16:$I$299,AG$2)</f>
        <v>0</v>
      </c>
      <c r="AH21" s="59">
        <f>SUMIFS(ConsevationBuildoutTracker!$T$16:$T$299,ConsevationBuildoutTracker!$E$16:$E$299,"AMD",ConsevationBuildoutTracker!$G$16:$G$299,"R",ConsevationBuildoutTracker!$I$16:$I$299,AH$2)</f>
        <v>0</v>
      </c>
      <c r="AI21" s="59">
        <f>SUMIFS(ConsevationBuildoutTracker!$T$16:$T$299,ConsevationBuildoutTracker!$E$16:$E$299,"AMD",ConsevationBuildoutTracker!$G$16:$G$299,"R",ConsevationBuildoutTracker!$I$16:$I$299,AI$2)</f>
        <v>0</v>
      </c>
      <c r="AJ21" s="59">
        <f>SUMIFS(ConsevationBuildoutTracker!$T$16:$T$299,ConsevationBuildoutTracker!$E$16:$E$299,"AMD",ConsevationBuildoutTracker!$G$16:$G$299,"R",ConsevationBuildoutTracker!$I$16:$I$299,AJ$2)</f>
        <v>0</v>
      </c>
      <c r="AK21" s="59">
        <f>SUMIFS(ConsevationBuildoutTracker!$T$16:$T$299,ConsevationBuildoutTracker!$E$16:$E$299,"AMD",ConsevationBuildoutTracker!$G$16:$G$299,"R",ConsevationBuildoutTracker!$I$16:$I$299,AK$2)</f>
        <v>0</v>
      </c>
    </row>
    <row r="22" spans="2:37" s="16" customFormat="1" x14ac:dyDescent="0.25">
      <c r="B22" s="17"/>
      <c r="D22" s="16" t="s">
        <v>4</v>
      </c>
      <c r="H22" s="16" t="s">
        <v>1015</v>
      </c>
      <c r="I22" s="61"/>
      <c r="J22" s="61"/>
      <c r="K22" s="61"/>
      <c r="L22" s="61"/>
      <c r="M22" s="61">
        <f t="shared" ref="M22:AK22" si="2">SUM(M23:M24)</f>
        <v>-31</v>
      </c>
      <c r="N22" s="61">
        <f t="shared" si="2"/>
        <v>-89</v>
      </c>
      <c r="O22" s="61">
        <f t="shared" si="2"/>
        <v>-5</v>
      </c>
      <c r="P22" s="61">
        <f t="shared" si="2"/>
        <v>-2</v>
      </c>
      <c r="Q22" s="61">
        <f t="shared" si="2"/>
        <v>-1</v>
      </c>
      <c r="R22" s="61">
        <f t="shared" si="2"/>
        <v>-1</v>
      </c>
      <c r="S22" s="61">
        <f t="shared" si="2"/>
        <v>-28</v>
      </c>
      <c r="T22" s="61">
        <f t="shared" si="2"/>
        <v>-10</v>
      </c>
      <c r="U22" s="61">
        <f t="shared" si="2"/>
        <v>-14</v>
      </c>
      <c r="V22" s="61">
        <f t="shared" si="2"/>
        <v>-91</v>
      </c>
      <c r="W22" s="61">
        <f t="shared" si="2"/>
        <v>-1</v>
      </c>
      <c r="X22" s="61">
        <f t="shared" si="2"/>
        <v>-3</v>
      </c>
      <c r="Y22" s="61">
        <f t="shared" si="2"/>
        <v>-6</v>
      </c>
      <c r="Z22" s="61">
        <f t="shared" si="2"/>
        <v>-7</v>
      </c>
      <c r="AA22" s="61">
        <f t="shared" si="2"/>
        <v>0</v>
      </c>
      <c r="AB22" s="61">
        <f t="shared" si="2"/>
        <v>0</v>
      </c>
      <c r="AC22" s="61">
        <f t="shared" si="2"/>
        <v>0</v>
      </c>
      <c r="AD22" s="61">
        <f t="shared" si="2"/>
        <v>0</v>
      </c>
      <c r="AE22" s="61">
        <f t="shared" si="2"/>
        <v>0</v>
      </c>
      <c r="AF22" s="61">
        <f t="shared" si="2"/>
        <v>0</v>
      </c>
      <c r="AG22" s="61">
        <f t="shared" si="2"/>
        <v>0</v>
      </c>
      <c r="AH22" s="61">
        <f t="shared" si="2"/>
        <v>0</v>
      </c>
      <c r="AI22" s="61">
        <f t="shared" si="2"/>
        <v>0</v>
      </c>
      <c r="AJ22" s="61">
        <f t="shared" si="2"/>
        <v>0</v>
      </c>
      <c r="AK22" s="61">
        <f t="shared" si="2"/>
        <v>0</v>
      </c>
    </row>
    <row r="23" spans="2:37" x14ac:dyDescent="0.25">
      <c r="E23" t="s">
        <v>36</v>
      </c>
      <c r="H23" t="s">
        <v>1015</v>
      </c>
      <c r="I23" s="59"/>
      <c r="J23" s="59"/>
      <c r="K23" s="59"/>
      <c r="L23" s="59"/>
      <c r="M23" s="59">
        <f>SUMIFS(ConsevationBuildoutTracker!$T$16:$T$299,ConsevationBuildoutTracker!$E$16:$E$299,"CE",ConsevationBuildoutTracker!$G$16:$G$299,"CN",ConsevationBuildoutTracker!$I$16:$I$299,M$2)</f>
        <v>0</v>
      </c>
      <c r="N23" s="59">
        <f>SUMIFS(ConsevationBuildoutTracker!$T$16:$T$299,ConsevationBuildoutTracker!$E$16:$E$299,"CE",ConsevationBuildoutTracker!$G$16:$G$299,"CN",ConsevationBuildoutTracker!$I$16:$I$299,N$2)</f>
        <v>0</v>
      </c>
      <c r="O23" s="59">
        <f>SUMIFS(ConsevationBuildoutTracker!$T$16:$T$299,ConsevationBuildoutTracker!$E$16:$E$299,"CE",ConsevationBuildoutTracker!$G$16:$G$299,"CN",ConsevationBuildoutTracker!$I$16:$I$299,O$2)</f>
        <v>0</v>
      </c>
      <c r="P23" s="59">
        <f>SUMIFS(ConsevationBuildoutTracker!$T$16:$T$299,ConsevationBuildoutTracker!$E$16:$E$299,"CE",ConsevationBuildoutTracker!$G$16:$G$299,"CN",ConsevationBuildoutTracker!$I$16:$I$299,P$2)</f>
        <v>0</v>
      </c>
      <c r="Q23" s="59">
        <f>SUMIFS(ConsevationBuildoutTracker!$T$16:$T$299,ConsevationBuildoutTracker!$E$16:$E$299,"CE",ConsevationBuildoutTracker!$G$16:$G$299,"CN",ConsevationBuildoutTracker!$I$16:$I$299,Q$2)</f>
        <v>0</v>
      </c>
      <c r="R23" s="59">
        <f>SUMIFS(ConsevationBuildoutTracker!$T$16:$T$299,ConsevationBuildoutTracker!$E$16:$E$299,"CE",ConsevationBuildoutTracker!$G$16:$G$299,"CN",ConsevationBuildoutTracker!$I$16:$I$299,R$2)</f>
        <v>0</v>
      </c>
      <c r="S23" s="59">
        <f>SUMIFS(ConsevationBuildoutTracker!$T$16:$T$299,ConsevationBuildoutTracker!$E$16:$E$299,"CE",ConsevationBuildoutTracker!$G$16:$G$299,"CN",ConsevationBuildoutTracker!$I$16:$I$299,S$2)</f>
        <v>0</v>
      </c>
      <c r="T23" s="59">
        <f>SUMIFS(ConsevationBuildoutTracker!$T$16:$T$299,ConsevationBuildoutTracker!$E$16:$E$299,"CE",ConsevationBuildoutTracker!$G$16:$G$299,"CN",ConsevationBuildoutTracker!$I$16:$I$299,T$2)</f>
        <v>0</v>
      </c>
      <c r="U23" s="59">
        <f>SUMIFS(ConsevationBuildoutTracker!$T$16:$T$299,ConsevationBuildoutTracker!$E$16:$E$299,"CE",ConsevationBuildoutTracker!$G$16:$G$299,"CN",ConsevationBuildoutTracker!$I$16:$I$299,U$2)</f>
        <v>0</v>
      </c>
      <c r="V23" s="59">
        <f>SUMIFS(ConsevationBuildoutTracker!$T$16:$T$299,ConsevationBuildoutTracker!$E$16:$E$299,"CE",ConsevationBuildoutTracker!$G$16:$G$299,"CN",ConsevationBuildoutTracker!$I$16:$I$299,V$2)</f>
        <v>0</v>
      </c>
      <c r="W23" s="59">
        <f>SUMIFS(ConsevationBuildoutTracker!$T$16:$T$299,ConsevationBuildoutTracker!$E$16:$E$299,"CE",ConsevationBuildoutTracker!$G$16:$G$299,"CN",ConsevationBuildoutTracker!$I$16:$I$299,W$2)</f>
        <v>0</v>
      </c>
      <c r="X23" s="59">
        <f>SUMIFS(ConsevationBuildoutTracker!$T$16:$T$299,ConsevationBuildoutTracker!$E$16:$E$299,"CE",ConsevationBuildoutTracker!$G$16:$G$299,"CN",ConsevationBuildoutTracker!$I$16:$I$299,X$2)</f>
        <v>0</v>
      </c>
      <c r="Y23" s="59">
        <f>SUMIFS(ConsevationBuildoutTracker!$T$16:$T$299,ConsevationBuildoutTracker!$E$16:$E$299,"CE",ConsevationBuildoutTracker!$G$16:$G$299,"CN",ConsevationBuildoutTracker!$I$16:$I$299,Y$2)</f>
        <v>0</v>
      </c>
      <c r="Z23" s="59">
        <f>SUMIFS(ConsevationBuildoutTracker!$T$16:$T$299,ConsevationBuildoutTracker!$E$16:$E$299,"CE",ConsevationBuildoutTracker!$G$16:$G$299,"CN",ConsevationBuildoutTracker!$I$16:$I$299,Z$2)</f>
        <v>-7</v>
      </c>
      <c r="AA23" s="59">
        <f>SUMIFS(ConsevationBuildoutTracker!$T$16:$T$299,ConsevationBuildoutTracker!$E$16:$E$299,"CE",ConsevationBuildoutTracker!$G$16:$G$299,"CN",ConsevationBuildoutTracker!$I$16:$I$299,AA$2)</f>
        <v>0</v>
      </c>
      <c r="AB23" s="59">
        <f>SUMIFS(ConsevationBuildoutTracker!$T$16:$T$299,ConsevationBuildoutTracker!$E$16:$E$299,"CE",ConsevationBuildoutTracker!$G$16:$G$299,"CN",ConsevationBuildoutTracker!$I$16:$I$299,AB$2)</f>
        <v>0</v>
      </c>
      <c r="AC23" s="59">
        <f>SUMIFS(ConsevationBuildoutTracker!$T$16:$T$299,ConsevationBuildoutTracker!$E$16:$E$299,"CE",ConsevationBuildoutTracker!$G$16:$G$299,"CN",ConsevationBuildoutTracker!$I$16:$I$299,AC$2)</f>
        <v>0</v>
      </c>
      <c r="AD23" s="59">
        <f>SUMIFS(ConsevationBuildoutTracker!$T$16:$T$299,ConsevationBuildoutTracker!$E$16:$E$299,"CE",ConsevationBuildoutTracker!$G$16:$G$299,"CN",ConsevationBuildoutTracker!$I$16:$I$299,AD$2)</f>
        <v>0</v>
      </c>
      <c r="AE23" s="59">
        <f>SUMIFS(ConsevationBuildoutTracker!$T$16:$T$299,ConsevationBuildoutTracker!$E$16:$E$299,"CE",ConsevationBuildoutTracker!$G$16:$G$299,"CN",ConsevationBuildoutTracker!$I$16:$I$299,AE$2)</f>
        <v>0</v>
      </c>
      <c r="AF23" s="59">
        <f>SUMIFS(ConsevationBuildoutTracker!$T$16:$T$299,ConsevationBuildoutTracker!$E$16:$E$299,"CE",ConsevationBuildoutTracker!$G$16:$G$299,"CN",ConsevationBuildoutTracker!$I$16:$I$299,AF$2)</f>
        <v>0</v>
      </c>
      <c r="AG23" s="59">
        <f>SUMIFS(ConsevationBuildoutTracker!$T$16:$T$299,ConsevationBuildoutTracker!$E$16:$E$299,"CE",ConsevationBuildoutTracker!$G$16:$G$299,"CN",ConsevationBuildoutTracker!$I$16:$I$299,AG$2)</f>
        <v>0</v>
      </c>
      <c r="AH23" s="59">
        <f>SUMIFS(ConsevationBuildoutTracker!$T$16:$T$299,ConsevationBuildoutTracker!$E$16:$E$299,"CE",ConsevationBuildoutTracker!$G$16:$G$299,"CN",ConsevationBuildoutTracker!$I$16:$I$299,AH$2)</f>
        <v>0</v>
      </c>
      <c r="AI23" s="59">
        <f>SUMIFS(ConsevationBuildoutTracker!$T$16:$T$299,ConsevationBuildoutTracker!$E$16:$E$299,"CE",ConsevationBuildoutTracker!$G$16:$G$299,"CN",ConsevationBuildoutTracker!$I$16:$I$299,AI$2)</f>
        <v>0</v>
      </c>
      <c r="AJ23" s="59">
        <f>SUMIFS(ConsevationBuildoutTracker!$T$16:$T$299,ConsevationBuildoutTracker!$E$16:$E$299,"CE",ConsevationBuildoutTracker!$G$16:$G$299,"CN",ConsevationBuildoutTracker!$I$16:$I$299,AJ$2)</f>
        <v>0</v>
      </c>
      <c r="AK23" s="59">
        <f>SUMIFS(ConsevationBuildoutTracker!$T$16:$T$299,ConsevationBuildoutTracker!$E$16:$E$299,"CE",ConsevationBuildoutTracker!$G$16:$G$299,"CN",ConsevationBuildoutTracker!$I$16:$I$299,AK$2)</f>
        <v>0</v>
      </c>
    </row>
    <row r="24" spans="2:37" x14ac:dyDescent="0.25">
      <c r="E24" t="s">
        <v>37</v>
      </c>
      <c r="H24" t="s">
        <v>1015</v>
      </c>
      <c r="I24" s="59"/>
      <c r="J24" s="59"/>
      <c r="K24" s="59"/>
      <c r="L24" s="59"/>
      <c r="M24" s="59">
        <f>SUMIFS(ConsevationBuildoutTracker!$T$16:$T$299,ConsevationBuildoutTracker!$E$16:$E$299,"CE",ConsevationBuildoutTracker!$G$16:$G$299,"R",ConsevationBuildoutTracker!$I$16:$I$299,M$2)</f>
        <v>-31</v>
      </c>
      <c r="N24" s="59">
        <f>SUMIFS(ConsevationBuildoutTracker!$T$16:$T$299,ConsevationBuildoutTracker!$E$16:$E$299,"CE",ConsevationBuildoutTracker!$G$16:$G$299,"R",ConsevationBuildoutTracker!$I$16:$I$299,N$2)</f>
        <v>-89</v>
      </c>
      <c r="O24" s="59">
        <f>SUMIFS(ConsevationBuildoutTracker!$T$16:$T$299,ConsevationBuildoutTracker!$E$16:$E$299,"CE",ConsevationBuildoutTracker!$G$16:$G$299,"R",ConsevationBuildoutTracker!$I$16:$I$299,O$2)</f>
        <v>-5</v>
      </c>
      <c r="P24" s="59">
        <f>SUMIFS(ConsevationBuildoutTracker!$T$16:$T$299,ConsevationBuildoutTracker!$E$16:$E$299,"CE",ConsevationBuildoutTracker!$G$16:$G$299,"R",ConsevationBuildoutTracker!$I$16:$I$299,P$2)</f>
        <v>-2</v>
      </c>
      <c r="Q24" s="59">
        <f>SUMIFS(ConsevationBuildoutTracker!$T$16:$T$299,ConsevationBuildoutTracker!$E$16:$E$299,"CE",ConsevationBuildoutTracker!$G$16:$G$299,"R",ConsevationBuildoutTracker!$I$16:$I$299,Q$2)</f>
        <v>-1</v>
      </c>
      <c r="R24" s="59">
        <f>SUMIFS(ConsevationBuildoutTracker!$T$16:$T$299,ConsevationBuildoutTracker!$E$16:$E$299,"CE",ConsevationBuildoutTracker!$G$16:$G$299,"R",ConsevationBuildoutTracker!$I$16:$I$299,R$2)</f>
        <v>-1</v>
      </c>
      <c r="S24" s="59">
        <f>SUMIFS(ConsevationBuildoutTracker!$T$16:$T$299,ConsevationBuildoutTracker!$E$16:$E$299,"CE",ConsevationBuildoutTracker!$G$16:$G$299,"R",ConsevationBuildoutTracker!$I$16:$I$299,S$2)</f>
        <v>-28</v>
      </c>
      <c r="T24" s="59">
        <f>SUMIFS(ConsevationBuildoutTracker!$T$16:$T$299,ConsevationBuildoutTracker!$E$16:$E$299,"CE",ConsevationBuildoutTracker!$G$16:$G$299,"R",ConsevationBuildoutTracker!$I$16:$I$299,T$2)</f>
        <v>-10</v>
      </c>
      <c r="U24" s="59">
        <f>SUMIFS(ConsevationBuildoutTracker!$T$16:$T$299,ConsevationBuildoutTracker!$E$16:$E$299,"CE",ConsevationBuildoutTracker!$G$16:$G$299,"R",ConsevationBuildoutTracker!$I$16:$I$299,U$2)</f>
        <v>-14</v>
      </c>
      <c r="V24" s="59">
        <f>SUMIFS(ConsevationBuildoutTracker!$T$16:$T$299,ConsevationBuildoutTracker!$E$16:$E$299,"CE",ConsevationBuildoutTracker!$G$16:$G$299,"R",ConsevationBuildoutTracker!$I$16:$I$299,V$2)</f>
        <v>-91</v>
      </c>
      <c r="W24" s="59">
        <f>SUMIFS(ConsevationBuildoutTracker!$T$16:$T$299,ConsevationBuildoutTracker!$E$16:$E$299,"CE",ConsevationBuildoutTracker!$G$16:$G$299,"R",ConsevationBuildoutTracker!$I$16:$I$299,W$2)</f>
        <v>-1</v>
      </c>
      <c r="X24" s="59">
        <f>SUMIFS(ConsevationBuildoutTracker!$T$16:$T$299,ConsevationBuildoutTracker!$E$16:$E$299,"CE",ConsevationBuildoutTracker!$G$16:$G$299,"R",ConsevationBuildoutTracker!$I$16:$I$299,X$2)</f>
        <v>-3</v>
      </c>
      <c r="Y24" s="59">
        <f>SUMIFS(ConsevationBuildoutTracker!$T$16:$T$299,ConsevationBuildoutTracker!$E$16:$E$299,"CE",ConsevationBuildoutTracker!$G$16:$G$299,"R",ConsevationBuildoutTracker!$I$16:$I$299,Y$2)</f>
        <v>-6</v>
      </c>
      <c r="Z24" s="59">
        <f>SUMIFS(ConsevationBuildoutTracker!$T$16:$T$299,ConsevationBuildoutTracker!$E$16:$E$299,"CE",ConsevationBuildoutTracker!$G$16:$G$299,"R",ConsevationBuildoutTracker!$I$16:$I$299,Z$2)</f>
        <v>0</v>
      </c>
      <c r="AA24" s="59">
        <f>SUMIFS(ConsevationBuildoutTracker!$T$16:$T$299,ConsevationBuildoutTracker!$E$16:$E$299,"CE",ConsevationBuildoutTracker!$G$16:$G$299,"R",ConsevationBuildoutTracker!$I$16:$I$299,AA$2)</f>
        <v>0</v>
      </c>
      <c r="AB24" s="59">
        <f>SUMIFS(ConsevationBuildoutTracker!$T$16:$T$299,ConsevationBuildoutTracker!$E$16:$E$299,"CE",ConsevationBuildoutTracker!$G$16:$G$299,"R",ConsevationBuildoutTracker!$I$16:$I$299,AB$2)</f>
        <v>0</v>
      </c>
      <c r="AC24" s="59">
        <f>SUMIFS(ConsevationBuildoutTracker!$T$16:$T$299,ConsevationBuildoutTracker!$E$16:$E$299,"CE",ConsevationBuildoutTracker!$G$16:$G$299,"R",ConsevationBuildoutTracker!$I$16:$I$299,AC$2)</f>
        <v>0</v>
      </c>
      <c r="AD24" s="59">
        <f>SUMIFS(ConsevationBuildoutTracker!$T$16:$T$299,ConsevationBuildoutTracker!$E$16:$E$299,"CE",ConsevationBuildoutTracker!$G$16:$G$299,"R",ConsevationBuildoutTracker!$I$16:$I$299,AD$2)</f>
        <v>0</v>
      </c>
      <c r="AE24" s="59">
        <f>SUMIFS(ConsevationBuildoutTracker!$T$16:$T$299,ConsevationBuildoutTracker!$E$16:$E$299,"CE",ConsevationBuildoutTracker!$G$16:$G$299,"R",ConsevationBuildoutTracker!$I$16:$I$299,AE$2)</f>
        <v>0</v>
      </c>
      <c r="AF24" s="59">
        <f>SUMIFS(ConsevationBuildoutTracker!$T$16:$T$299,ConsevationBuildoutTracker!$E$16:$E$299,"CE",ConsevationBuildoutTracker!$G$16:$G$299,"R",ConsevationBuildoutTracker!$I$16:$I$299,AF$2)</f>
        <v>0</v>
      </c>
      <c r="AG24" s="59">
        <f>SUMIFS(ConsevationBuildoutTracker!$T$16:$T$299,ConsevationBuildoutTracker!$E$16:$E$299,"CE",ConsevationBuildoutTracker!$G$16:$G$299,"R",ConsevationBuildoutTracker!$I$16:$I$299,AG$2)</f>
        <v>0</v>
      </c>
      <c r="AH24" s="59">
        <f>SUMIFS(ConsevationBuildoutTracker!$T$16:$T$299,ConsevationBuildoutTracker!$E$16:$E$299,"CE",ConsevationBuildoutTracker!$G$16:$G$299,"R",ConsevationBuildoutTracker!$I$16:$I$299,AH$2)</f>
        <v>0</v>
      </c>
      <c r="AI24" s="59">
        <f>SUMIFS(ConsevationBuildoutTracker!$T$16:$T$299,ConsevationBuildoutTracker!$E$16:$E$299,"CE",ConsevationBuildoutTracker!$G$16:$G$299,"R",ConsevationBuildoutTracker!$I$16:$I$299,AI$2)</f>
        <v>0</v>
      </c>
      <c r="AJ24" s="59">
        <f>SUMIFS(ConsevationBuildoutTracker!$T$16:$T$299,ConsevationBuildoutTracker!$E$16:$E$299,"CE",ConsevationBuildoutTracker!$G$16:$G$299,"R",ConsevationBuildoutTracker!$I$16:$I$299,AJ$2)</f>
        <v>0</v>
      </c>
      <c r="AK24" s="59">
        <f>SUMIFS(ConsevationBuildoutTracker!$T$16:$T$299,ConsevationBuildoutTracker!$E$16:$E$299,"CE",ConsevationBuildoutTracker!$G$16:$G$299,"R",ConsevationBuildoutTracker!$I$16:$I$299,AK$2)</f>
        <v>0</v>
      </c>
    </row>
    <row r="25" spans="2:37" s="16" customFormat="1" x14ac:dyDescent="0.25">
      <c r="B25" s="17"/>
      <c r="D25" s="16" t="s">
        <v>28</v>
      </c>
      <c r="H25" s="16" t="s">
        <v>1015</v>
      </c>
      <c r="I25" s="61"/>
      <c r="J25" s="61"/>
      <c r="K25" s="61"/>
      <c r="L25" s="61"/>
      <c r="M25" s="61"/>
      <c r="N25" s="61"/>
      <c r="O25" s="61"/>
      <c r="P25" s="61"/>
      <c r="Q25" s="61"/>
      <c r="R25" s="61"/>
      <c r="S25" s="61">
        <f t="shared" ref="S25:AK25" si="3">SUM(S26:S27)</f>
        <v>-3</v>
      </c>
      <c r="T25" s="61">
        <f t="shared" si="3"/>
        <v>-2</v>
      </c>
      <c r="U25" s="61">
        <f t="shared" si="3"/>
        <v>0</v>
      </c>
      <c r="V25" s="61">
        <f t="shared" si="3"/>
        <v>-3</v>
      </c>
      <c r="W25" s="61">
        <f t="shared" si="3"/>
        <v>-35.6</v>
      </c>
      <c r="X25" s="61">
        <f t="shared" si="3"/>
        <v>0</v>
      </c>
      <c r="Y25" s="61">
        <f t="shared" si="3"/>
        <v>0</v>
      </c>
      <c r="Z25" s="61">
        <f t="shared" si="3"/>
        <v>0</v>
      </c>
      <c r="AA25" s="61">
        <f t="shared" si="3"/>
        <v>-2</v>
      </c>
      <c r="AB25" s="61">
        <f t="shared" si="3"/>
        <v>0</v>
      </c>
      <c r="AC25" s="61">
        <f t="shared" si="3"/>
        <v>0</v>
      </c>
      <c r="AD25" s="61">
        <f t="shared" si="3"/>
        <v>0</v>
      </c>
      <c r="AE25" s="61">
        <f t="shared" si="3"/>
        <v>0</v>
      </c>
      <c r="AF25" s="61">
        <f t="shared" si="3"/>
        <v>0</v>
      </c>
      <c r="AG25" s="61">
        <f t="shared" si="3"/>
        <v>0</v>
      </c>
      <c r="AH25" s="61">
        <f t="shared" si="3"/>
        <v>0</v>
      </c>
      <c r="AI25" s="61">
        <f t="shared" si="3"/>
        <v>0</v>
      </c>
      <c r="AJ25" s="61">
        <f t="shared" si="3"/>
        <v>0</v>
      </c>
      <c r="AK25" s="61">
        <f t="shared" si="3"/>
        <v>0</v>
      </c>
    </row>
    <row r="26" spans="2:37" x14ac:dyDescent="0.25">
      <c r="E26" t="s">
        <v>36</v>
      </c>
      <c r="H26" t="s">
        <v>1015</v>
      </c>
      <c r="I26" s="59"/>
      <c r="J26" s="59"/>
      <c r="K26" s="59"/>
      <c r="L26" s="59"/>
      <c r="M26" s="59"/>
      <c r="N26" s="59"/>
      <c r="O26" s="59"/>
      <c r="P26" s="59"/>
      <c r="Q26" s="59"/>
      <c r="R26" s="59"/>
      <c r="S26" s="59">
        <v>0</v>
      </c>
      <c r="T26" s="59">
        <v>0</v>
      </c>
      <c r="U26" s="59">
        <v>0</v>
      </c>
      <c r="V26" s="59">
        <v>0</v>
      </c>
      <c r="W26" s="59">
        <f>SUMIFS(ConsevationBuildoutTracker!$T$16:$T$299,ConsevationBuildoutTracker!$E$16:$E$299,"PPT",ConsevationBuildoutTracker!$G$16:$G$299,"CN",ConsevationBuildoutTracker!$I$16:$I$299,W$2)</f>
        <v>0</v>
      </c>
      <c r="X26" s="59">
        <f>SUMIFS(ConsevationBuildoutTracker!$T$16:$T$299,ConsevationBuildoutTracker!$E$16:$E$299,"PPT",ConsevationBuildoutTracker!$G$16:$G$299,"CN",ConsevationBuildoutTracker!$I$16:$I$299,X$2)</f>
        <v>0</v>
      </c>
      <c r="Y26" s="59">
        <f>SUMIFS(ConsevationBuildoutTracker!$T$16:$T$299,ConsevationBuildoutTracker!$E$16:$E$299,"PPT",ConsevationBuildoutTracker!$G$16:$G$299,"CN",ConsevationBuildoutTracker!$I$16:$I$299,Y$2)</f>
        <v>0</v>
      </c>
      <c r="Z26" s="59">
        <f>SUMIFS(ConsevationBuildoutTracker!$T$16:$T$299,ConsevationBuildoutTracker!$E$16:$E$299,"PPT",ConsevationBuildoutTracker!$G$16:$G$299,"CN",ConsevationBuildoutTracker!$I$16:$I$299,Z$2)</f>
        <v>0</v>
      </c>
      <c r="AA26" s="59">
        <f>SUMIFS(ConsevationBuildoutTracker!$T$16:$T$299,ConsevationBuildoutTracker!$E$16:$E$299,"PPT",ConsevationBuildoutTracker!$G$16:$G$299,"CN",ConsevationBuildoutTracker!$I$16:$I$299,AA$2)</f>
        <v>0</v>
      </c>
      <c r="AB26" s="59">
        <f>SUMIFS(ConsevationBuildoutTracker!$T$16:$T$299,ConsevationBuildoutTracker!$E$16:$E$299,"PPT",ConsevationBuildoutTracker!$G$16:$G$299,"CN",ConsevationBuildoutTracker!$I$16:$I$299,AB$2)</f>
        <v>0</v>
      </c>
      <c r="AC26" s="59">
        <f>SUMIFS(ConsevationBuildoutTracker!$T$16:$T$299,ConsevationBuildoutTracker!$E$16:$E$299,"PPT",ConsevationBuildoutTracker!$G$16:$G$299,"CN",ConsevationBuildoutTracker!$I$16:$I$299,AC$2)</f>
        <v>0</v>
      </c>
      <c r="AD26" s="59">
        <f>SUMIFS(ConsevationBuildoutTracker!$T$16:$T$299,ConsevationBuildoutTracker!$E$16:$E$299,"PPT",ConsevationBuildoutTracker!$G$16:$G$299,"CN",ConsevationBuildoutTracker!$I$16:$I$299,AD$2)</f>
        <v>0</v>
      </c>
      <c r="AE26" s="59">
        <f>SUMIFS(ConsevationBuildoutTracker!$T$16:$T$299,ConsevationBuildoutTracker!$E$16:$E$299,"PPT",ConsevationBuildoutTracker!$G$16:$G$299,"CN",ConsevationBuildoutTracker!$I$16:$I$299,AE$2)</f>
        <v>0</v>
      </c>
      <c r="AF26" s="59">
        <f>SUMIFS(ConsevationBuildoutTracker!$T$16:$T$299,ConsevationBuildoutTracker!$E$16:$E$299,"PPT",ConsevationBuildoutTracker!$G$16:$G$299,"CN",ConsevationBuildoutTracker!$I$16:$I$299,AF$2)</f>
        <v>0</v>
      </c>
      <c r="AG26" s="59">
        <f>SUMIFS(ConsevationBuildoutTracker!$T$16:$T$299,ConsevationBuildoutTracker!$E$16:$E$299,"PPT",ConsevationBuildoutTracker!$G$16:$G$299,"CN",ConsevationBuildoutTracker!$I$16:$I$299,AG$2)</f>
        <v>0</v>
      </c>
      <c r="AH26" s="59">
        <f>SUMIFS(ConsevationBuildoutTracker!$T$16:$T$299,ConsevationBuildoutTracker!$E$16:$E$299,"PPT",ConsevationBuildoutTracker!$G$16:$G$299,"CN",ConsevationBuildoutTracker!$I$16:$I$299,AH$2)</f>
        <v>0</v>
      </c>
      <c r="AI26" s="59">
        <f>SUMIFS(ConsevationBuildoutTracker!$T$16:$T$299,ConsevationBuildoutTracker!$E$16:$E$299,"PPT",ConsevationBuildoutTracker!$G$16:$G$299,"CN",ConsevationBuildoutTracker!$I$16:$I$299,AI$2)</f>
        <v>0</v>
      </c>
      <c r="AJ26" s="59">
        <f>SUMIFS(ConsevationBuildoutTracker!$T$16:$T$299,ConsevationBuildoutTracker!$E$16:$E$299,"PPT",ConsevationBuildoutTracker!$G$16:$G$299,"CN",ConsevationBuildoutTracker!$I$16:$I$299,AJ$2)</f>
        <v>0</v>
      </c>
      <c r="AK26" s="59">
        <f>SUMIFS(ConsevationBuildoutTracker!$T$16:$T$299,ConsevationBuildoutTracker!$E$16:$E$299,"PPT",ConsevationBuildoutTracker!$G$16:$G$299,"CN",ConsevationBuildoutTracker!$I$16:$I$299,AK$2)</f>
        <v>0</v>
      </c>
    </row>
    <row r="27" spans="2:37" ht="12.95" customHeight="1" x14ac:dyDescent="0.25">
      <c r="E27" t="s">
        <v>37</v>
      </c>
      <c r="H27" t="s">
        <v>1015</v>
      </c>
      <c r="I27" s="59"/>
      <c r="J27" s="59"/>
      <c r="K27" s="59"/>
      <c r="L27" s="59"/>
      <c r="M27" s="59"/>
      <c r="N27" s="59"/>
      <c r="O27" s="59"/>
      <c r="P27" s="59"/>
      <c r="Q27" s="59"/>
      <c r="R27" s="59"/>
      <c r="S27" s="59">
        <v>-3</v>
      </c>
      <c r="T27" s="59">
        <v>-2</v>
      </c>
      <c r="U27" s="59">
        <v>0</v>
      </c>
      <c r="V27" s="59">
        <v>-3</v>
      </c>
      <c r="W27" s="59">
        <f>SUMIFS(ConsevationBuildoutTracker!$T$16:$T$299,ConsevationBuildoutTracker!$E$16:$E$299,"PPT",ConsevationBuildoutTracker!$G$16:$G$299,"R",ConsevationBuildoutTracker!$I$16:$I$299,W$2)</f>
        <v>-35.6</v>
      </c>
      <c r="X27" s="59">
        <f>SUMIFS(ConsevationBuildoutTracker!$T$16:$T$299,ConsevationBuildoutTracker!$E$16:$E$299,"PPT",ConsevationBuildoutTracker!$G$16:$G$299,"R",ConsevationBuildoutTracker!$I$16:$I$299,X$2)</f>
        <v>0</v>
      </c>
      <c r="Y27" s="59">
        <f>SUMIFS(ConsevationBuildoutTracker!$T$16:$T$299,ConsevationBuildoutTracker!$E$16:$E$299,"PPT",ConsevationBuildoutTracker!$G$16:$G$299,"R",ConsevationBuildoutTracker!$I$16:$I$299,Y$2)</f>
        <v>0</v>
      </c>
      <c r="Z27" s="59">
        <f>SUMIFS(ConsevationBuildoutTracker!$T$16:$T$299,ConsevationBuildoutTracker!$E$16:$E$299,"PPT",ConsevationBuildoutTracker!$G$16:$G$299,"R",ConsevationBuildoutTracker!$I$16:$I$299,Z$2)</f>
        <v>0</v>
      </c>
      <c r="AA27" s="59">
        <f>SUMIFS(ConsevationBuildoutTracker!$T$16:$T$299,ConsevationBuildoutTracker!$E$16:$E$299,"PPT",ConsevationBuildoutTracker!$G$16:$G$299,"R",ConsevationBuildoutTracker!$I$16:$I$299,AA$2)</f>
        <v>-2</v>
      </c>
      <c r="AB27" s="59">
        <f>SUMIFS(ConsevationBuildoutTracker!$T$16:$T$299,ConsevationBuildoutTracker!$E$16:$E$299,"PPT",ConsevationBuildoutTracker!$G$16:$G$299,"R",ConsevationBuildoutTracker!$I$16:$I$299,AB$2)</f>
        <v>0</v>
      </c>
      <c r="AC27" s="59">
        <f>SUMIFS(ConsevationBuildoutTracker!$T$16:$T$299,ConsevationBuildoutTracker!$E$16:$E$299,"PPT",ConsevationBuildoutTracker!$G$16:$G$299,"R",ConsevationBuildoutTracker!$I$16:$I$299,AC$2)</f>
        <v>0</v>
      </c>
      <c r="AD27" s="59">
        <f>SUMIFS(ConsevationBuildoutTracker!$T$16:$T$299,ConsevationBuildoutTracker!$E$16:$E$299,"PPT",ConsevationBuildoutTracker!$G$16:$G$299,"R",ConsevationBuildoutTracker!$I$16:$I$299,AD$2)</f>
        <v>0</v>
      </c>
      <c r="AE27" s="59">
        <f>SUMIFS(ConsevationBuildoutTracker!$T$16:$T$299,ConsevationBuildoutTracker!$E$16:$E$299,"PPT",ConsevationBuildoutTracker!$G$16:$G$299,"R",ConsevationBuildoutTracker!$I$16:$I$299,AE$2)</f>
        <v>0</v>
      </c>
      <c r="AF27" s="59">
        <f>SUMIFS(ConsevationBuildoutTracker!$T$16:$T$299,ConsevationBuildoutTracker!$E$16:$E$299,"PPT",ConsevationBuildoutTracker!$G$16:$G$299,"R",ConsevationBuildoutTracker!$I$16:$I$299,AF$2)</f>
        <v>0</v>
      </c>
      <c r="AG27" s="59">
        <f>SUMIFS(ConsevationBuildoutTracker!$T$16:$T$299,ConsevationBuildoutTracker!$E$16:$E$299,"PPT",ConsevationBuildoutTracker!$G$16:$G$299,"R",ConsevationBuildoutTracker!$I$16:$I$299,AG$2)</f>
        <v>0</v>
      </c>
      <c r="AH27" s="59">
        <f>SUMIFS(ConsevationBuildoutTracker!$T$16:$T$299,ConsevationBuildoutTracker!$E$16:$E$299,"PPT",ConsevationBuildoutTracker!$G$16:$G$299,"R",ConsevationBuildoutTracker!$I$16:$I$299,AH$2)</f>
        <v>0</v>
      </c>
      <c r="AI27" s="59">
        <f>SUMIFS(ConsevationBuildoutTracker!$T$16:$T$299,ConsevationBuildoutTracker!$E$16:$E$299,"PPT",ConsevationBuildoutTracker!$G$16:$G$299,"R",ConsevationBuildoutTracker!$I$16:$I$299,AI$2)</f>
        <v>0</v>
      </c>
      <c r="AJ27" s="59">
        <f>SUMIFS(ConsevationBuildoutTracker!$T$16:$T$299,ConsevationBuildoutTracker!$E$16:$E$299,"PPT",ConsevationBuildoutTracker!$G$16:$G$299,"R",ConsevationBuildoutTracker!$I$16:$I$299,AJ$2)</f>
        <v>0</v>
      </c>
      <c r="AK27" s="59">
        <f>SUMIFS(ConsevationBuildoutTracker!$T$16:$T$299,ConsevationBuildoutTracker!$E$16:$E$299,"PPT",ConsevationBuildoutTracker!$G$16:$G$299,"R",ConsevationBuildoutTracker!$I$16:$I$299,AK$2)</f>
        <v>0</v>
      </c>
    </row>
    <row r="28" spans="2:37" s="16" customFormat="1" x14ac:dyDescent="0.25">
      <c r="B28" s="17"/>
      <c r="D28" s="16" t="s">
        <v>230</v>
      </c>
      <c r="H28" s="16" t="s">
        <v>1015</v>
      </c>
      <c r="I28" s="61"/>
      <c r="J28" s="61"/>
      <c r="K28" s="61"/>
      <c r="L28" s="61"/>
      <c r="M28" s="61"/>
      <c r="N28" s="61"/>
      <c r="O28" s="61"/>
      <c r="P28" s="61"/>
      <c r="Q28" s="61"/>
      <c r="R28" s="61"/>
      <c r="S28" s="61"/>
      <c r="T28" s="61"/>
      <c r="U28" s="61"/>
      <c r="V28" s="61"/>
      <c r="W28" s="61">
        <f t="shared" ref="W28:AK28" si="4">SUM(W29:W30)</f>
        <v>0</v>
      </c>
      <c r="X28" s="61">
        <f t="shared" si="4"/>
        <v>0</v>
      </c>
      <c r="Y28" s="61">
        <f t="shared" si="4"/>
        <v>0</v>
      </c>
      <c r="Z28" s="61">
        <f t="shared" si="4"/>
        <v>12</v>
      </c>
      <c r="AA28" s="61">
        <f t="shared" si="4"/>
        <v>25</v>
      </c>
      <c r="AB28" s="61">
        <f t="shared" si="4"/>
        <v>0</v>
      </c>
      <c r="AC28" s="61">
        <f t="shared" si="4"/>
        <v>0</v>
      </c>
      <c r="AD28" s="61">
        <f t="shared" si="4"/>
        <v>0</v>
      </c>
      <c r="AE28" s="61">
        <f t="shared" si="4"/>
        <v>0</v>
      </c>
      <c r="AF28" s="61">
        <f t="shared" si="4"/>
        <v>0</v>
      </c>
      <c r="AG28" s="61">
        <f t="shared" si="4"/>
        <v>0</v>
      </c>
      <c r="AH28" s="61">
        <f t="shared" si="4"/>
        <v>0</v>
      </c>
      <c r="AI28" s="61">
        <f t="shared" si="4"/>
        <v>0</v>
      </c>
      <c r="AJ28" s="61">
        <f t="shared" si="4"/>
        <v>0</v>
      </c>
      <c r="AK28" s="61">
        <f t="shared" si="4"/>
        <v>0</v>
      </c>
    </row>
    <row r="29" spans="2:37" x14ac:dyDescent="0.25">
      <c r="E29" t="s">
        <v>36</v>
      </c>
      <c r="H29" t="s">
        <v>1015</v>
      </c>
      <c r="I29" s="59"/>
      <c r="J29" s="59"/>
      <c r="K29" s="59"/>
      <c r="L29" s="59"/>
      <c r="M29" s="59"/>
      <c r="N29" s="59"/>
      <c r="O29" s="59"/>
      <c r="P29" s="59"/>
      <c r="Q29" s="59"/>
      <c r="R29" s="59"/>
      <c r="S29" s="59"/>
      <c r="T29" s="59"/>
      <c r="U29" s="59"/>
      <c r="V29" s="59"/>
      <c r="W29" s="59">
        <f>SUMIFS(ConsevationBuildoutTracker!$T$16:$T$299,ConsevationBuildoutTracker!$E$16:$E$299,"2for1",ConsevationBuildoutTracker!$G$16:$G$299,"CN",ConsevationBuildoutTracker!$I$16:$I$299,W$2)</f>
        <v>0</v>
      </c>
      <c r="X29" s="59">
        <f>SUMIFS(ConsevationBuildoutTracker!$T$16:$T$299,ConsevationBuildoutTracker!$E$16:$E$299,"2for1",ConsevationBuildoutTracker!$G$16:$G$299,"CN",ConsevationBuildoutTracker!$I$16:$I$299,X$2)</f>
        <v>0</v>
      </c>
      <c r="Y29" s="59">
        <f>SUMIFS(ConsevationBuildoutTracker!$T$16:$T$299,ConsevationBuildoutTracker!$E$16:$E$299,"2for1",ConsevationBuildoutTracker!$G$16:$G$299,"CN",ConsevationBuildoutTracker!$I$16:$I$299,Y$2)</f>
        <v>0</v>
      </c>
      <c r="Z29" s="59">
        <f>SUMIFS(ConsevationBuildoutTracker!$T$16:$T$299,ConsevationBuildoutTracker!$E$16:$E$299,"2for1",ConsevationBuildoutTracker!$G$16:$G$299,"CN",ConsevationBuildoutTracker!$I$16:$I$299,Z$2)</f>
        <v>12</v>
      </c>
      <c r="AA29" s="59">
        <f>SUMIFS(ConsevationBuildoutTracker!$T$16:$T$299,ConsevationBuildoutTracker!$E$16:$E$299,"2for1",ConsevationBuildoutTracker!$G$16:$G$299,"CN",ConsevationBuildoutTracker!$I$16:$I$299,AA$2)</f>
        <v>25</v>
      </c>
      <c r="AB29" s="59">
        <f>SUMIFS(ConsevationBuildoutTracker!$T$16:$T$299,ConsevationBuildoutTracker!$E$16:$E$299,"2for1",ConsevationBuildoutTracker!$G$16:$G$299,"CN",ConsevationBuildoutTracker!$I$16:$I$299,AB$2)</f>
        <v>0</v>
      </c>
      <c r="AC29" s="59">
        <f>SUMIFS(ConsevationBuildoutTracker!$T$16:$T$299,ConsevationBuildoutTracker!$E$16:$E$299,"2for1",ConsevationBuildoutTracker!$G$16:$G$299,"CN",ConsevationBuildoutTracker!$I$16:$I$299,AC$2)</f>
        <v>0</v>
      </c>
      <c r="AD29" s="59">
        <f>SUMIFS(ConsevationBuildoutTracker!$T$16:$T$299,ConsevationBuildoutTracker!$E$16:$E$299,"2for1",ConsevationBuildoutTracker!$G$16:$G$299,"CN",ConsevationBuildoutTracker!$I$16:$I$299,AD$2)</f>
        <v>0</v>
      </c>
      <c r="AE29" s="59">
        <f>SUMIFS(ConsevationBuildoutTracker!$T$16:$T$299,ConsevationBuildoutTracker!$E$16:$E$299,"2for1",ConsevationBuildoutTracker!$G$16:$G$299,"CN",ConsevationBuildoutTracker!$I$16:$I$299,AE$2)</f>
        <v>0</v>
      </c>
      <c r="AF29" s="59">
        <f>SUMIFS(ConsevationBuildoutTracker!$T$16:$T$299,ConsevationBuildoutTracker!$E$16:$E$299,"2for1",ConsevationBuildoutTracker!$G$16:$G$299,"CN",ConsevationBuildoutTracker!$I$16:$I$299,AF$2)</f>
        <v>0</v>
      </c>
      <c r="AG29" s="59">
        <f>SUMIFS(ConsevationBuildoutTracker!$T$16:$T$299,ConsevationBuildoutTracker!$E$16:$E$299,"2for1",ConsevationBuildoutTracker!$G$16:$G$299,"CN",ConsevationBuildoutTracker!$I$16:$I$299,AG$2)</f>
        <v>0</v>
      </c>
      <c r="AH29" s="59">
        <f>SUMIFS(ConsevationBuildoutTracker!$T$16:$T$299,ConsevationBuildoutTracker!$E$16:$E$299,"2for1",ConsevationBuildoutTracker!$G$16:$G$299,"CN",ConsevationBuildoutTracker!$I$16:$I$299,AH$2)</f>
        <v>0</v>
      </c>
      <c r="AI29" s="59">
        <f>SUMIFS(ConsevationBuildoutTracker!$T$16:$T$299,ConsevationBuildoutTracker!$E$16:$E$299,"2for1",ConsevationBuildoutTracker!$G$16:$G$299,"CN",ConsevationBuildoutTracker!$I$16:$I$299,AI$2)</f>
        <v>0</v>
      </c>
      <c r="AJ29" s="59">
        <f>SUMIFS(ConsevationBuildoutTracker!$T$16:$T$299,ConsevationBuildoutTracker!$E$16:$E$299,"2for1",ConsevationBuildoutTracker!$G$16:$G$299,"CN",ConsevationBuildoutTracker!$I$16:$I$299,AJ$2)</f>
        <v>0</v>
      </c>
      <c r="AK29" s="59">
        <f>SUMIFS(ConsevationBuildoutTracker!$T$16:$T$299,ConsevationBuildoutTracker!$E$16:$E$299,"2for1",ConsevationBuildoutTracker!$G$16:$G$299,"CN",ConsevationBuildoutTracker!$I$16:$I$299,AK$2)</f>
        <v>0</v>
      </c>
    </row>
    <row r="30" spans="2:37" x14ac:dyDescent="0.25">
      <c r="E30" t="s">
        <v>37</v>
      </c>
      <c r="H30" t="s">
        <v>1015</v>
      </c>
      <c r="I30" s="59"/>
      <c r="J30" s="59"/>
      <c r="K30" s="59"/>
      <c r="L30" s="59"/>
      <c r="M30" s="59"/>
      <c r="N30" s="59"/>
      <c r="O30" s="59"/>
      <c r="P30" s="59"/>
      <c r="Q30" s="59"/>
      <c r="R30" s="59"/>
      <c r="S30" s="59"/>
      <c r="T30" s="59"/>
      <c r="U30" s="59"/>
      <c r="V30" s="59"/>
      <c r="W30" s="59">
        <f>SUMIFS(ConsevationBuildoutTracker!$T$16:$T$299,ConsevationBuildoutTracker!$E$16:$E$299,"2for1",ConsevationBuildoutTracker!$G$16:$G$299,"R",ConsevationBuildoutTracker!$I$16:$I$299,W$2)</f>
        <v>0</v>
      </c>
      <c r="X30" s="59">
        <f>SUMIFS(ConsevationBuildoutTracker!$T$16:$T$299,ConsevationBuildoutTracker!$E$16:$E$299,"2for1",ConsevationBuildoutTracker!$G$16:$G$299,"R",ConsevationBuildoutTracker!$I$16:$I$299,X$2)</f>
        <v>0</v>
      </c>
      <c r="Y30" s="59">
        <f>SUMIFS(ConsevationBuildoutTracker!$T$16:$T$299,ConsevationBuildoutTracker!$E$16:$E$299,"2for1",ConsevationBuildoutTracker!$G$16:$G$299,"R",ConsevationBuildoutTracker!$I$16:$I$299,Y$2)</f>
        <v>0</v>
      </c>
      <c r="Z30" s="59">
        <f>SUMIFS(ConsevationBuildoutTracker!$T$16:$T$299,ConsevationBuildoutTracker!$E$16:$E$299,"2for1",ConsevationBuildoutTracker!$G$16:$G$299,"R",ConsevationBuildoutTracker!$I$16:$I$299,Z$2)</f>
        <v>0</v>
      </c>
      <c r="AA30" s="59">
        <f>SUMIFS(ConsevationBuildoutTracker!$T$16:$T$299,ConsevationBuildoutTracker!$E$16:$E$299,"2for1",ConsevationBuildoutTracker!$G$16:$G$299,"R",ConsevationBuildoutTracker!$I$16:$I$299,AA$2)</f>
        <v>0</v>
      </c>
      <c r="AB30" s="59">
        <f>SUMIFS(ConsevationBuildoutTracker!$T$16:$T$299,ConsevationBuildoutTracker!$E$16:$E$299,"2for1",ConsevationBuildoutTracker!$G$16:$G$299,"R",ConsevationBuildoutTracker!$I$16:$I$299,AB$2)</f>
        <v>0</v>
      </c>
      <c r="AC30" s="59">
        <f>SUMIFS(ConsevationBuildoutTracker!$T$16:$T$299,ConsevationBuildoutTracker!$E$16:$E$299,"2for1",ConsevationBuildoutTracker!$G$16:$G$299,"R",ConsevationBuildoutTracker!$I$16:$I$299,AC$2)</f>
        <v>0</v>
      </c>
      <c r="AD30" s="59">
        <f>SUMIFS(ConsevationBuildoutTracker!$T$16:$T$299,ConsevationBuildoutTracker!$E$16:$E$299,"2for1",ConsevationBuildoutTracker!$G$16:$G$299,"R",ConsevationBuildoutTracker!$I$16:$I$299,AD$2)</f>
        <v>0</v>
      </c>
      <c r="AE30" s="59">
        <f>SUMIFS(ConsevationBuildoutTracker!$T$16:$T$299,ConsevationBuildoutTracker!$E$16:$E$299,"2for1",ConsevationBuildoutTracker!$G$16:$G$299,"R",ConsevationBuildoutTracker!$I$16:$I$299,AE$2)</f>
        <v>0</v>
      </c>
      <c r="AF30" s="59">
        <f>SUMIFS(ConsevationBuildoutTracker!$T$16:$T$299,ConsevationBuildoutTracker!$E$16:$E$299,"2for1",ConsevationBuildoutTracker!$G$16:$G$299,"R",ConsevationBuildoutTracker!$I$16:$I$299,AF$2)</f>
        <v>0</v>
      </c>
      <c r="AG30" s="59">
        <f>SUMIFS(ConsevationBuildoutTracker!$T$16:$T$299,ConsevationBuildoutTracker!$E$16:$E$299,"2for1",ConsevationBuildoutTracker!$G$16:$G$299,"R",ConsevationBuildoutTracker!$I$16:$I$299,AG$2)</f>
        <v>0</v>
      </c>
      <c r="AH30" s="59">
        <f>SUMIFS(ConsevationBuildoutTracker!$T$16:$T$299,ConsevationBuildoutTracker!$E$16:$E$299,"2for1",ConsevationBuildoutTracker!$G$16:$G$299,"R",ConsevationBuildoutTracker!$I$16:$I$299,AH$2)</f>
        <v>0</v>
      </c>
      <c r="AI30" s="59">
        <f>SUMIFS(ConsevationBuildoutTracker!$T$16:$T$299,ConsevationBuildoutTracker!$E$16:$E$299,"2for1",ConsevationBuildoutTracker!$G$16:$G$299,"R",ConsevationBuildoutTracker!$I$16:$I$299,AI$2)</f>
        <v>0</v>
      </c>
      <c r="AJ30" s="59">
        <f>SUMIFS(ConsevationBuildoutTracker!$T$16:$T$299,ConsevationBuildoutTracker!$E$16:$E$299,"2for1",ConsevationBuildoutTracker!$G$16:$G$299,"R",ConsevationBuildoutTracker!$I$16:$I$299,AJ$2)</f>
        <v>0</v>
      </c>
      <c r="AK30" s="59">
        <f>SUMIFS(ConsevationBuildoutTracker!$T$16:$T$299,ConsevationBuildoutTracker!$E$16:$E$299,"2for1",ConsevationBuildoutTracker!$G$16:$G$299,"R",ConsevationBuildoutTracker!$I$16:$I$299,AK$2)</f>
        <v>0</v>
      </c>
    </row>
    <row r="31" spans="2:37" x14ac:dyDescent="0.25">
      <c r="D31" s="16" t="s">
        <v>229</v>
      </c>
      <c r="E31" s="16"/>
      <c r="F31" s="16"/>
      <c r="G31" s="16"/>
      <c r="H31" s="16" t="s">
        <v>1015</v>
      </c>
      <c r="I31" s="61"/>
      <c r="J31" s="61"/>
      <c r="K31" s="61"/>
      <c r="L31" s="61"/>
      <c r="M31" s="61"/>
      <c r="N31" s="61"/>
      <c r="O31" s="61"/>
      <c r="P31" s="61"/>
      <c r="Q31" s="61"/>
      <c r="R31" s="61"/>
      <c r="S31" s="61"/>
      <c r="T31" s="61"/>
      <c r="U31" s="61"/>
      <c r="V31" s="61"/>
      <c r="W31" s="61">
        <f t="shared" ref="W31:AK31" si="5">SUM(W32:W33)</f>
        <v>0</v>
      </c>
      <c r="X31" s="61">
        <f t="shared" si="5"/>
        <v>0</v>
      </c>
      <c r="Y31" s="61">
        <f t="shared" si="5"/>
        <v>0</v>
      </c>
      <c r="Z31" s="61">
        <f t="shared" si="5"/>
        <v>0</v>
      </c>
      <c r="AA31" s="61">
        <f t="shared" si="5"/>
        <v>0</v>
      </c>
      <c r="AB31" s="61">
        <f t="shared" si="5"/>
        <v>0</v>
      </c>
      <c r="AC31" s="61">
        <f t="shared" si="5"/>
        <v>0</v>
      </c>
      <c r="AD31" s="61">
        <f t="shared" si="5"/>
        <v>0</v>
      </c>
      <c r="AE31" s="61">
        <f t="shared" si="5"/>
        <v>0</v>
      </c>
      <c r="AF31" s="61">
        <f t="shared" si="5"/>
        <v>0</v>
      </c>
      <c r="AG31" s="61">
        <f t="shared" si="5"/>
        <v>0</v>
      </c>
      <c r="AH31" s="61">
        <f t="shared" si="5"/>
        <v>0</v>
      </c>
      <c r="AI31" s="61">
        <f t="shared" si="5"/>
        <v>0</v>
      </c>
      <c r="AJ31" s="61">
        <f t="shared" si="5"/>
        <v>0</v>
      </c>
      <c r="AK31" s="61">
        <f t="shared" si="5"/>
        <v>0</v>
      </c>
    </row>
    <row r="32" spans="2:37" x14ac:dyDescent="0.25">
      <c r="E32" t="s">
        <v>36</v>
      </c>
      <c r="H32" t="s">
        <v>1015</v>
      </c>
      <c r="I32" s="59"/>
      <c r="J32" s="59"/>
      <c r="K32" s="59"/>
      <c r="L32" s="59"/>
      <c r="M32" s="59"/>
      <c r="N32" s="59"/>
      <c r="O32" s="59"/>
      <c r="P32" s="59"/>
      <c r="Q32" s="59"/>
      <c r="R32" s="59"/>
      <c r="S32" s="59"/>
      <c r="T32" s="59"/>
      <c r="U32" s="59"/>
      <c r="V32" s="59"/>
      <c r="W32" s="59">
        <f>SUMIFS(ConsevationBuildoutTracker!$T$16:$T$299,ConsevationBuildoutTracker!$E$16:$E$299,"CNPRD",ConsevationBuildoutTracker!$G$16:$G$299,"CN",ConsevationBuildoutTracker!$I$16:$I$299,W$2)</f>
        <v>0</v>
      </c>
      <c r="X32" s="59">
        <f>SUMIFS(ConsevationBuildoutTracker!$T$16:$T$299,ConsevationBuildoutTracker!$E$16:$E$299,"CNPRD",ConsevationBuildoutTracker!$G$16:$G$299,"CN",ConsevationBuildoutTracker!$I$16:$I$299,X$2)</f>
        <v>0</v>
      </c>
      <c r="Y32" s="59">
        <f>SUMIFS(ConsevationBuildoutTracker!$T$16:$T$299,ConsevationBuildoutTracker!$E$16:$E$299,"CNPRD",ConsevationBuildoutTracker!$G$16:$G$299,"CN",ConsevationBuildoutTracker!$I$16:$I$299,Y$2)</f>
        <v>0</v>
      </c>
      <c r="Z32" s="59">
        <f>SUMIFS(ConsevationBuildoutTracker!$T$16:$T$299,ConsevationBuildoutTracker!$E$16:$E$299,"CNPRD",ConsevationBuildoutTracker!$G$16:$G$299,"CN",ConsevationBuildoutTracker!$I$16:$I$299,Z$2)</f>
        <v>0</v>
      </c>
      <c r="AA32" s="59">
        <f>SUMIFS(ConsevationBuildoutTracker!$T$16:$T$299,ConsevationBuildoutTracker!$E$16:$E$299,"CNPRD",ConsevationBuildoutTracker!$G$16:$G$299,"CN",ConsevationBuildoutTracker!$I$16:$I$299,AA$2)</f>
        <v>0</v>
      </c>
      <c r="AB32" s="59">
        <f>SUMIFS(ConsevationBuildoutTracker!$T$16:$T$299,ConsevationBuildoutTracker!$E$16:$E$299,"CNPRD",ConsevationBuildoutTracker!$G$16:$G$299,"CN",ConsevationBuildoutTracker!$I$16:$I$299,AB$2)</f>
        <v>0</v>
      </c>
      <c r="AC32" s="59">
        <f>SUMIFS(ConsevationBuildoutTracker!$T$16:$T$299,ConsevationBuildoutTracker!$E$16:$E$299,"CNPRD",ConsevationBuildoutTracker!$G$16:$G$299,"CN",ConsevationBuildoutTracker!$I$16:$I$299,AC$2)</f>
        <v>0</v>
      </c>
      <c r="AD32" s="59">
        <f>SUMIFS(ConsevationBuildoutTracker!$T$16:$T$299,ConsevationBuildoutTracker!$E$16:$E$299,"CNPRD",ConsevationBuildoutTracker!$G$16:$G$299,"CN",ConsevationBuildoutTracker!$I$16:$I$299,AD$2)</f>
        <v>0</v>
      </c>
      <c r="AE32" s="59">
        <f>SUMIFS(ConsevationBuildoutTracker!$T$16:$T$299,ConsevationBuildoutTracker!$E$16:$E$299,"CNPRD",ConsevationBuildoutTracker!$G$16:$G$299,"CN",ConsevationBuildoutTracker!$I$16:$I$299,AE$2)</f>
        <v>0</v>
      </c>
      <c r="AF32" s="59">
        <f>SUMIFS(ConsevationBuildoutTracker!$T$16:$T$299,ConsevationBuildoutTracker!$E$16:$E$299,"CNPRD",ConsevationBuildoutTracker!$G$16:$G$299,"CN",ConsevationBuildoutTracker!$I$16:$I$299,AF$2)</f>
        <v>0</v>
      </c>
      <c r="AG32" s="59">
        <f>SUMIFS(ConsevationBuildoutTracker!$T$16:$T$299,ConsevationBuildoutTracker!$E$16:$E$299,"CNPRD",ConsevationBuildoutTracker!$G$16:$G$299,"CN",ConsevationBuildoutTracker!$I$16:$I$299,AG$2)</f>
        <v>0</v>
      </c>
      <c r="AH32" s="59">
        <f>SUMIFS(ConsevationBuildoutTracker!$T$16:$T$299,ConsevationBuildoutTracker!$E$16:$E$299,"CNPRD",ConsevationBuildoutTracker!$G$16:$G$299,"CN",ConsevationBuildoutTracker!$I$16:$I$299,AH$2)</f>
        <v>0</v>
      </c>
      <c r="AI32" s="59">
        <f>SUMIFS(ConsevationBuildoutTracker!$T$16:$T$299,ConsevationBuildoutTracker!$E$16:$E$299,"CNPRD",ConsevationBuildoutTracker!$G$16:$G$299,"CN",ConsevationBuildoutTracker!$I$16:$I$299,AI$2)</f>
        <v>0</v>
      </c>
      <c r="AJ32" s="59">
        <f>SUMIFS(ConsevationBuildoutTracker!$T$16:$T$299,ConsevationBuildoutTracker!$E$16:$E$299,"CNPRD",ConsevationBuildoutTracker!$G$16:$G$299,"CN",ConsevationBuildoutTracker!$I$16:$I$299,AJ$2)</f>
        <v>0</v>
      </c>
      <c r="AK32" s="59">
        <f>SUMIFS(ConsevationBuildoutTracker!$T$16:$T$299,ConsevationBuildoutTracker!$E$16:$E$299,"CNPRD",ConsevationBuildoutTracker!$G$16:$G$299,"CN",ConsevationBuildoutTracker!$I$16:$I$299,AK$2)</f>
        <v>0</v>
      </c>
    </row>
    <row r="33" spans="2:37" x14ac:dyDescent="0.25">
      <c r="E33" t="s">
        <v>37</v>
      </c>
      <c r="H33" t="s">
        <v>1015</v>
      </c>
      <c r="I33" s="59"/>
      <c r="J33" s="59"/>
      <c r="K33" s="59"/>
      <c r="L33" s="59"/>
      <c r="M33" s="59"/>
      <c r="N33" s="59"/>
      <c r="O33" s="59"/>
      <c r="P33" s="59"/>
      <c r="Q33" s="59"/>
      <c r="R33" s="59"/>
      <c r="S33" s="59"/>
      <c r="T33" s="59"/>
      <c r="U33" s="59"/>
      <c r="V33" s="59"/>
      <c r="W33" s="59">
        <f>SUMIFS(ConsevationBuildoutTracker!$T$16:$T$299,ConsevationBuildoutTracker!$E$16:$E$299,"CNPRD",ConsevationBuildoutTracker!$G$16:$G$299,"R",ConsevationBuildoutTracker!$I$16:$I$299,W$2)</f>
        <v>0</v>
      </c>
      <c r="X33" s="59">
        <f>SUMIFS(ConsevationBuildoutTracker!$T$16:$T$299,ConsevationBuildoutTracker!$E$16:$E$299,"CNPRD",ConsevationBuildoutTracker!$G$16:$G$299,"R",ConsevationBuildoutTracker!$I$16:$I$299,X$2)</f>
        <v>0</v>
      </c>
      <c r="Y33" s="59">
        <f>SUMIFS(ConsevationBuildoutTracker!$T$16:$T$299,ConsevationBuildoutTracker!$E$16:$E$299,"CNPRD",ConsevationBuildoutTracker!$G$16:$G$299,"R",ConsevationBuildoutTracker!$I$16:$I$299,Y$2)</f>
        <v>0</v>
      </c>
      <c r="Z33" s="59">
        <f>SUMIFS(ConsevationBuildoutTracker!$T$16:$T$299,ConsevationBuildoutTracker!$E$16:$E$299,"CNPRD",ConsevationBuildoutTracker!$G$16:$G$299,"R",ConsevationBuildoutTracker!$I$16:$I$299,Z$2)</f>
        <v>0</v>
      </c>
      <c r="AA33" s="59">
        <f>SUMIFS(ConsevationBuildoutTracker!$T$16:$T$299,ConsevationBuildoutTracker!$E$16:$E$299,"CNPRD",ConsevationBuildoutTracker!$G$16:$G$299,"R",ConsevationBuildoutTracker!$I$16:$I$299,AA$2)</f>
        <v>0</v>
      </c>
      <c r="AB33" s="59">
        <f>SUMIFS(ConsevationBuildoutTracker!$T$16:$T$299,ConsevationBuildoutTracker!$E$16:$E$299,"CNPRD",ConsevationBuildoutTracker!$G$16:$G$299,"R",ConsevationBuildoutTracker!$I$16:$I$299,AB$2)</f>
        <v>0</v>
      </c>
      <c r="AC33" s="59">
        <f>SUMIFS(ConsevationBuildoutTracker!$T$16:$T$299,ConsevationBuildoutTracker!$E$16:$E$299,"CNPRD",ConsevationBuildoutTracker!$G$16:$G$299,"R",ConsevationBuildoutTracker!$I$16:$I$299,AC$2)</f>
        <v>0</v>
      </c>
      <c r="AD33" s="59">
        <f>SUMIFS(ConsevationBuildoutTracker!$T$16:$T$299,ConsevationBuildoutTracker!$E$16:$E$299,"CNPRD",ConsevationBuildoutTracker!$G$16:$G$299,"R",ConsevationBuildoutTracker!$I$16:$I$299,AD$2)</f>
        <v>0</v>
      </c>
      <c r="AE33" s="59">
        <f>SUMIFS(ConsevationBuildoutTracker!$T$16:$T$299,ConsevationBuildoutTracker!$E$16:$E$299,"CNPRD",ConsevationBuildoutTracker!$G$16:$G$299,"R",ConsevationBuildoutTracker!$I$16:$I$299,AE$2)</f>
        <v>0</v>
      </c>
      <c r="AF33" s="59">
        <f>SUMIFS(ConsevationBuildoutTracker!$T$16:$T$299,ConsevationBuildoutTracker!$E$16:$E$299,"CNPRD",ConsevationBuildoutTracker!$G$16:$G$299,"R",ConsevationBuildoutTracker!$I$16:$I$299,AF$2)</f>
        <v>0</v>
      </c>
      <c r="AG33" s="59">
        <f>SUMIFS(ConsevationBuildoutTracker!$T$16:$T$299,ConsevationBuildoutTracker!$E$16:$E$299,"CNPRD",ConsevationBuildoutTracker!$G$16:$G$299,"R",ConsevationBuildoutTracker!$I$16:$I$299,AG$2)</f>
        <v>0</v>
      </c>
      <c r="AH33" s="59">
        <f>SUMIFS(ConsevationBuildoutTracker!$T$16:$T$299,ConsevationBuildoutTracker!$E$16:$E$299,"CNPRD",ConsevationBuildoutTracker!$G$16:$G$299,"R",ConsevationBuildoutTracker!$I$16:$I$299,AH$2)</f>
        <v>0</v>
      </c>
      <c r="AI33" s="59">
        <f>SUMIFS(ConsevationBuildoutTracker!$T$16:$T$299,ConsevationBuildoutTracker!$E$16:$E$299,"CNPRD",ConsevationBuildoutTracker!$G$16:$G$299,"R",ConsevationBuildoutTracker!$I$16:$I$299,AI$2)</f>
        <v>0</v>
      </c>
      <c r="AJ33" s="59">
        <f>SUMIFS(ConsevationBuildoutTracker!$T$16:$T$299,ConsevationBuildoutTracker!$E$16:$E$299,"CNPRD",ConsevationBuildoutTracker!$G$16:$G$299,"R",ConsevationBuildoutTracker!$I$16:$I$299,AJ$2)</f>
        <v>0</v>
      </c>
      <c r="AK33" s="59">
        <f>SUMIFS(ConsevationBuildoutTracker!$T$16:$T$299,ConsevationBuildoutTracker!$E$16:$E$299,"CNPRD",ConsevationBuildoutTracker!$G$16:$G$299,"R",ConsevationBuildoutTracker!$I$16:$I$299,AK$2)</f>
        <v>0</v>
      </c>
    </row>
    <row r="34" spans="2:37" s="13" customFormat="1" x14ac:dyDescent="0.25">
      <c r="B34" s="14"/>
      <c r="C34" s="13" t="s">
        <v>38</v>
      </c>
      <c r="H34" s="13" t="s">
        <v>1016</v>
      </c>
      <c r="I34" s="62"/>
      <c r="J34" s="62"/>
      <c r="K34" s="62"/>
      <c r="L34" s="62"/>
      <c r="M34" s="62"/>
      <c r="N34" s="62"/>
      <c r="O34" s="62"/>
      <c r="P34" s="62"/>
      <c r="Q34" s="62"/>
      <c r="R34" s="62"/>
      <c r="S34" s="62">
        <f t="shared" ref="S34:AK34" si="6">SUM(S35,S38,S41)</f>
        <v>0</v>
      </c>
      <c r="T34" s="62">
        <f t="shared" si="6"/>
        <v>0</v>
      </c>
      <c r="U34" s="62">
        <f t="shared" si="6"/>
        <v>0</v>
      </c>
      <c r="V34" s="62">
        <f t="shared" si="6"/>
        <v>-317</v>
      </c>
      <c r="W34" s="62">
        <f t="shared" si="6"/>
        <v>89.024727564102562</v>
      </c>
      <c r="X34" s="62">
        <f t="shared" si="6"/>
        <v>0</v>
      </c>
      <c r="Y34" s="62">
        <f t="shared" si="6"/>
        <v>0</v>
      </c>
      <c r="Z34" s="62">
        <f t="shared" si="6"/>
        <v>-22</v>
      </c>
      <c r="AA34" s="62">
        <f t="shared" si="6"/>
        <v>0</v>
      </c>
      <c r="AB34" s="62">
        <f t="shared" si="6"/>
        <v>0</v>
      </c>
      <c r="AC34" s="62">
        <f t="shared" si="6"/>
        <v>0</v>
      </c>
      <c r="AD34" s="62">
        <f t="shared" si="6"/>
        <v>0</v>
      </c>
      <c r="AE34" s="62">
        <f t="shared" si="6"/>
        <v>0</v>
      </c>
      <c r="AF34" s="62">
        <f t="shared" si="6"/>
        <v>0</v>
      </c>
      <c r="AG34" s="62">
        <f t="shared" si="6"/>
        <v>0</v>
      </c>
      <c r="AH34" s="62">
        <f t="shared" si="6"/>
        <v>0</v>
      </c>
      <c r="AI34" s="62">
        <f t="shared" si="6"/>
        <v>0</v>
      </c>
      <c r="AJ34" s="62">
        <f t="shared" si="6"/>
        <v>0</v>
      </c>
      <c r="AK34" s="62">
        <f t="shared" si="6"/>
        <v>0</v>
      </c>
    </row>
    <row r="35" spans="2:37" s="16" customFormat="1" x14ac:dyDescent="0.25">
      <c r="B35" s="17"/>
      <c r="D35" s="16" t="s">
        <v>41</v>
      </c>
      <c r="H35" s="16" t="s">
        <v>1016</v>
      </c>
      <c r="I35" s="61"/>
      <c r="J35" s="61"/>
      <c r="K35" s="61"/>
      <c r="L35" s="61"/>
      <c r="M35" s="61"/>
      <c r="N35" s="61"/>
      <c r="O35" s="61"/>
      <c r="P35" s="61"/>
      <c r="Q35" s="61"/>
      <c r="R35" s="61"/>
      <c r="S35" s="61">
        <f t="shared" ref="S35:AK35" si="7">SUM(S36:S37)</f>
        <v>0</v>
      </c>
      <c r="T35" s="61">
        <f t="shared" si="7"/>
        <v>0</v>
      </c>
      <c r="U35" s="61">
        <f t="shared" si="7"/>
        <v>0</v>
      </c>
      <c r="V35" s="61">
        <f t="shared" si="7"/>
        <v>-317</v>
      </c>
      <c r="W35" s="61">
        <f t="shared" si="7"/>
        <v>89.024727564102562</v>
      </c>
      <c r="X35" s="61">
        <f t="shared" si="7"/>
        <v>0</v>
      </c>
      <c r="Y35" s="61">
        <f t="shared" si="7"/>
        <v>0</v>
      </c>
      <c r="Z35" s="61">
        <f t="shared" si="7"/>
        <v>0</v>
      </c>
      <c r="AA35" s="61">
        <f t="shared" si="7"/>
        <v>0</v>
      </c>
      <c r="AB35" s="61">
        <f t="shared" si="7"/>
        <v>0</v>
      </c>
      <c r="AC35" s="61">
        <f t="shared" si="7"/>
        <v>0</v>
      </c>
      <c r="AD35" s="61">
        <f t="shared" si="7"/>
        <v>0</v>
      </c>
      <c r="AE35" s="61">
        <f t="shared" si="7"/>
        <v>0</v>
      </c>
      <c r="AF35" s="61">
        <f t="shared" si="7"/>
        <v>0</v>
      </c>
      <c r="AG35" s="61">
        <f t="shared" si="7"/>
        <v>0</v>
      </c>
      <c r="AH35" s="61">
        <f t="shared" si="7"/>
        <v>0</v>
      </c>
      <c r="AI35" s="61">
        <f t="shared" si="7"/>
        <v>0</v>
      </c>
      <c r="AJ35" s="61">
        <f t="shared" si="7"/>
        <v>0</v>
      </c>
      <c r="AK35" s="61">
        <f t="shared" si="7"/>
        <v>0</v>
      </c>
    </row>
    <row r="36" spans="2:37" x14ac:dyDescent="0.25">
      <c r="E36" t="s">
        <v>36</v>
      </c>
      <c r="H36" t="s">
        <v>1016</v>
      </c>
      <c r="I36" s="59"/>
      <c r="J36" s="59"/>
      <c r="K36" s="59"/>
      <c r="L36" s="59"/>
      <c r="M36" s="59"/>
      <c r="N36" s="59"/>
      <c r="O36" s="59"/>
      <c r="P36" s="59"/>
      <c r="Q36" s="59"/>
      <c r="R36" s="59"/>
      <c r="S36" s="59">
        <v>0</v>
      </c>
      <c r="T36" s="59">
        <v>0</v>
      </c>
      <c r="U36" s="59">
        <v>0</v>
      </c>
      <c r="V36" s="59">
        <v>-317</v>
      </c>
      <c r="W36" s="59">
        <f>SUMIFS(ConsevationBuildoutTracker!$U$16:$U$299,ConsevationBuildoutTracker!$E$16:$E$299,"AMD",ConsevationBuildoutTracker!$G$16:$G$299,"CN",ConsevationBuildoutTracker!$I$16:$I$299,W$2)</f>
        <v>89.024727564102562</v>
      </c>
      <c r="X36" s="59">
        <f>SUMIFS(ConsevationBuildoutTracker!$U$16:$U$299,ConsevationBuildoutTracker!$E$16:$E$299,"AMD",ConsevationBuildoutTracker!$G$16:$G$299,"CN",ConsevationBuildoutTracker!$I$16:$I$299,X$2)</f>
        <v>0</v>
      </c>
      <c r="Y36" s="59">
        <f>SUMIFS(ConsevationBuildoutTracker!$U$16:$U$299,ConsevationBuildoutTracker!$E$16:$E$299,"AMD",ConsevationBuildoutTracker!$G$16:$G$299,"CN",ConsevationBuildoutTracker!$I$16:$I$299,Y$2)</f>
        <v>0</v>
      </c>
      <c r="Z36" s="59">
        <f>SUMIFS(ConsevationBuildoutTracker!$U$16:$U$299,ConsevationBuildoutTracker!$E$16:$E$299,"AMD",ConsevationBuildoutTracker!$G$16:$G$299,"CN",ConsevationBuildoutTracker!$I$16:$I$299,Z$2)</f>
        <v>0</v>
      </c>
      <c r="AA36" s="59">
        <f>SUMIFS(ConsevationBuildoutTracker!$U$16:$U$299,ConsevationBuildoutTracker!$E$16:$E$299,"AMD",ConsevationBuildoutTracker!$G$16:$G$299,"CN",ConsevationBuildoutTracker!$I$16:$I$299,AA$2)</f>
        <v>0</v>
      </c>
      <c r="AB36" s="59">
        <f>SUMIFS(ConsevationBuildoutTracker!$U$16:$U$299,ConsevationBuildoutTracker!$E$16:$E$299,"AMD",ConsevationBuildoutTracker!$G$16:$G$299,"CN",ConsevationBuildoutTracker!$I$16:$I$299,AB$2)</f>
        <v>0</v>
      </c>
      <c r="AC36" s="59">
        <f>SUMIFS(ConsevationBuildoutTracker!$U$16:$U$299,ConsevationBuildoutTracker!$E$16:$E$299,"AMD",ConsevationBuildoutTracker!$G$16:$G$299,"CN",ConsevationBuildoutTracker!$I$16:$I$299,AC$2)</f>
        <v>0</v>
      </c>
      <c r="AD36" s="59">
        <f>SUMIFS(ConsevationBuildoutTracker!$U$16:$U$299,ConsevationBuildoutTracker!$E$16:$E$299,"AMD",ConsevationBuildoutTracker!$G$16:$G$299,"CN",ConsevationBuildoutTracker!$I$16:$I$299,AD$2)</f>
        <v>0</v>
      </c>
      <c r="AE36" s="59">
        <f>SUMIFS(ConsevationBuildoutTracker!$U$16:$U$299,ConsevationBuildoutTracker!$E$16:$E$299,"AMD",ConsevationBuildoutTracker!$G$16:$G$299,"CN",ConsevationBuildoutTracker!$I$16:$I$299,AE$2)</f>
        <v>0</v>
      </c>
      <c r="AF36" s="59">
        <f>SUMIFS(ConsevationBuildoutTracker!$U$16:$U$299,ConsevationBuildoutTracker!$E$16:$E$299,"AMD",ConsevationBuildoutTracker!$G$16:$G$299,"CN",ConsevationBuildoutTracker!$I$16:$I$299,AF$2)</f>
        <v>0</v>
      </c>
      <c r="AG36" s="59">
        <f>SUMIFS(ConsevationBuildoutTracker!$U$16:$U$299,ConsevationBuildoutTracker!$E$16:$E$299,"AMD",ConsevationBuildoutTracker!$G$16:$G$299,"CN",ConsevationBuildoutTracker!$I$16:$I$299,AG$2)</f>
        <v>0</v>
      </c>
      <c r="AH36" s="59">
        <f>SUMIFS(ConsevationBuildoutTracker!$U$16:$U$299,ConsevationBuildoutTracker!$E$16:$E$299,"AMD",ConsevationBuildoutTracker!$G$16:$G$299,"CN",ConsevationBuildoutTracker!$I$16:$I$299,AH$2)</f>
        <v>0</v>
      </c>
      <c r="AI36" s="59">
        <f>SUMIFS(ConsevationBuildoutTracker!$U$16:$U$299,ConsevationBuildoutTracker!$E$16:$E$299,"AMD",ConsevationBuildoutTracker!$G$16:$G$299,"CN",ConsevationBuildoutTracker!$I$16:$I$299,AI$2)</f>
        <v>0</v>
      </c>
      <c r="AJ36" s="59">
        <f>SUMIFS(ConsevationBuildoutTracker!$U$16:$U$299,ConsevationBuildoutTracker!$E$16:$E$299,"AMD",ConsevationBuildoutTracker!$G$16:$G$299,"CN",ConsevationBuildoutTracker!$I$16:$I$299,AJ$2)</f>
        <v>0</v>
      </c>
      <c r="AK36" s="59">
        <f>SUMIFS(ConsevationBuildoutTracker!$U$16:$U$299,ConsevationBuildoutTracker!$E$16:$E$299,"AMD",ConsevationBuildoutTracker!$G$16:$G$299,"CN",ConsevationBuildoutTracker!$I$16:$I$299,AK$2)</f>
        <v>0</v>
      </c>
    </row>
    <row r="37" spans="2:37" x14ac:dyDescent="0.25">
      <c r="E37" t="s">
        <v>37</v>
      </c>
      <c r="H37" t="s">
        <v>1016</v>
      </c>
      <c r="I37" s="59"/>
      <c r="J37" s="59"/>
      <c r="K37" s="59"/>
      <c r="L37" s="59"/>
      <c r="M37" s="59"/>
      <c r="N37" s="59"/>
      <c r="O37" s="59"/>
      <c r="P37" s="59"/>
      <c r="Q37" s="59"/>
      <c r="R37" s="59"/>
      <c r="S37" s="59">
        <v>0</v>
      </c>
      <c r="T37" s="59">
        <v>0</v>
      </c>
      <c r="U37" s="59">
        <v>0</v>
      </c>
      <c r="V37" s="59">
        <v>0</v>
      </c>
      <c r="W37" s="59">
        <f>SUMIFS(ConsevationBuildoutTracker!$U$16:$U$299,ConsevationBuildoutTracker!$E$16:$E$299,"AMD",ConsevationBuildoutTracker!$G$16:$G$299,"R",ConsevationBuildoutTracker!$I$16:$I$299,W$2)</f>
        <v>0</v>
      </c>
      <c r="X37" s="59">
        <f>SUMIFS(ConsevationBuildoutTracker!$U$16:$U$299,ConsevationBuildoutTracker!$E$16:$E$299,"AMD",ConsevationBuildoutTracker!$G$16:$G$299,"R",ConsevationBuildoutTracker!$I$16:$I$299,X$2)</f>
        <v>0</v>
      </c>
      <c r="Y37" s="59">
        <f>SUMIFS(ConsevationBuildoutTracker!$U$16:$U$299,ConsevationBuildoutTracker!$E$16:$E$299,"AMD",ConsevationBuildoutTracker!$G$16:$G$299,"R",ConsevationBuildoutTracker!$I$16:$I$299,Y$2)</f>
        <v>0</v>
      </c>
      <c r="Z37" s="59">
        <f>SUMIFS(ConsevationBuildoutTracker!$U$16:$U$299,ConsevationBuildoutTracker!$E$16:$E$299,"AMD",ConsevationBuildoutTracker!$G$16:$G$299,"R",ConsevationBuildoutTracker!$I$16:$I$299,Z$2)</f>
        <v>0</v>
      </c>
      <c r="AA37" s="59">
        <f>SUMIFS(ConsevationBuildoutTracker!$U$16:$U$299,ConsevationBuildoutTracker!$E$16:$E$299,"AMD",ConsevationBuildoutTracker!$G$16:$G$299,"R",ConsevationBuildoutTracker!$I$16:$I$299,AA$2)</f>
        <v>0</v>
      </c>
      <c r="AB37" s="59">
        <f>SUMIFS(ConsevationBuildoutTracker!$U$16:$U$299,ConsevationBuildoutTracker!$E$16:$E$299,"AMD",ConsevationBuildoutTracker!$G$16:$G$299,"R",ConsevationBuildoutTracker!$I$16:$I$299,AB$2)</f>
        <v>0</v>
      </c>
      <c r="AC37" s="59">
        <f>SUMIFS(ConsevationBuildoutTracker!$U$16:$U$299,ConsevationBuildoutTracker!$E$16:$E$299,"AMD",ConsevationBuildoutTracker!$G$16:$G$299,"R",ConsevationBuildoutTracker!$I$16:$I$299,AC$2)</f>
        <v>0</v>
      </c>
      <c r="AD37" s="59">
        <f>SUMIFS(ConsevationBuildoutTracker!$U$16:$U$299,ConsevationBuildoutTracker!$E$16:$E$299,"AMD",ConsevationBuildoutTracker!$G$16:$G$299,"R",ConsevationBuildoutTracker!$I$16:$I$299,AD$2)</f>
        <v>0</v>
      </c>
      <c r="AE37" s="59">
        <f>SUMIFS(ConsevationBuildoutTracker!$U$16:$U$299,ConsevationBuildoutTracker!$E$16:$E$299,"AMD",ConsevationBuildoutTracker!$G$16:$G$299,"R",ConsevationBuildoutTracker!$I$16:$I$299,AE$2)</f>
        <v>0</v>
      </c>
      <c r="AF37" s="59">
        <f>SUMIFS(ConsevationBuildoutTracker!$U$16:$U$299,ConsevationBuildoutTracker!$E$16:$E$299,"AMD",ConsevationBuildoutTracker!$G$16:$G$299,"R",ConsevationBuildoutTracker!$I$16:$I$299,AF$2)</f>
        <v>0</v>
      </c>
      <c r="AG37" s="59">
        <f>SUMIFS(ConsevationBuildoutTracker!$U$16:$U$299,ConsevationBuildoutTracker!$E$16:$E$299,"AMD",ConsevationBuildoutTracker!$G$16:$G$299,"R",ConsevationBuildoutTracker!$I$16:$I$299,AG$2)</f>
        <v>0</v>
      </c>
      <c r="AH37" s="59">
        <f>SUMIFS(ConsevationBuildoutTracker!$U$16:$U$299,ConsevationBuildoutTracker!$E$16:$E$299,"AMD",ConsevationBuildoutTracker!$G$16:$G$299,"R",ConsevationBuildoutTracker!$I$16:$I$299,AH$2)</f>
        <v>0</v>
      </c>
      <c r="AI37" s="59">
        <f>SUMIFS(ConsevationBuildoutTracker!$U$16:$U$299,ConsevationBuildoutTracker!$E$16:$E$299,"AMD",ConsevationBuildoutTracker!$G$16:$G$299,"R",ConsevationBuildoutTracker!$I$16:$I$299,AI$2)</f>
        <v>0</v>
      </c>
      <c r="AJ37" s="59">
        <f>SUMIFS(ConsevationBuildoutTracker!$U$16:$U$299,ConsevationBuildoutTracker!$E$16:$E$299,"AMD",ConsevationBuildoutTracker!$G$16:$G$299,"R",ConsevationBuildoutTracker!$I$16:$I$299,AJ$2)</f>
        <v>0</v>
      </c>
      <c r="AK37" s="59">
        <f>SUMIFS(ConsevationBuildoutTracker!$U$16:$U$299,ConsevationBuildoutTracker!$E$16:$E$299,"AMD",ConsevationBuildoutTracker!$G$16:$G$299,"R",ConsevationBuildoutTracker!$I$16:$I$299,AK$2)</f>
        <v>0</v>
      </c>
    </row>
    <row r="38" spans="2:37" s="16" customFormat="1" x14ac:dyDescent="0.25">
      <c r="B38" s="17"/>
      <c r="D38" s="16" t="s">
        <v>4</v>
      </c>
      <c r="H38" s="16" t="s">
        <v>1016</v>
      </c>
      <c r="I38" s="61"/>
      <c r="J38" s="61"/>
      <c r="K38" s="61"/>
      <c r="L38" s="61"/>
      <c r="M38" s="61"/>
      <c r="N38" s="61"/>
      <c r="O38" s="61"/>
      <c r="P38" s="61"/>
      <c r="Q38" s="61"/>
      <c r="R38" s="61"/>
      <c r="S38" s="61">
        <f t="shared" ref="S38:AK38" si="8">SUM(S39:S40)</f>
        <v>0</v>
      </c>
      <c r="T38" s="61">
        <f t="shared" si="8"/>
        <v>0</v>
      </c>
      <c r="U38" s="61">
        <f t="shared" si="8"/>
        <v>0</v>
      </c>
      <c r="V38" s="61">
        <f t="shared" si="8"/>
        <v>0</v>
      </c>
      <c r="W38" s="61">
        <f t="shared" si="8"/>
        <v>0</v>
      </c>
      <c r="X38" s="61">
        <f t="shared" si="8"/>
        <v>0</v>
      </c>
      <c r="Y38" s="61">
        <f t="shared" si="8"/>
        <v>0</v>
      </c>
      <c r="Z38" s="61">
        <f t="shared" si="8"/>
        <v>-22</v>
      </c>
      <c r="AA38" s="61">
        <f t="shared" si="8"/>
        <v>0</v>
      </c>
      <c r="AB38" s="61">
        <f t="shared" si="8"/>
        <v>0</v>
      </c>
      <c r="AC38" s="61">
        <f t="shared" si="8"/>
        <v>0</v>
      </c>
      <c r="AD38" s="61">
        <f t="shared" si="8"/>
        <v>0</v>
      </c>
      <c r="AE38" s="61">
        <f t="shared" si="8"/>
        <v>0</v>
      </c>
      <c r="AF38" s="61">
        <f t="shared" si="8"/>
        <v>0</v>
      </c>
      <c r="AG38" s="61">
        <f t="shared" si="8"/>
        <v>0</v>
      </c>
      <c r="AH38" s="61">
        <f t="shared" si="8"/>
        <v>0</v>
      </c>
      <c r="AI38" s="61">
        <f t="shared" si="8"/>
        <v>0</v>
      </c>
      <c r="AJ38" s="61">
        <f t="shared" si="8"/>
        <v>0</v>
      </c>
      <c r="AK38" s="61">
        <f t="shared" si="8"/>
        <v>0</v>
      </c>
    </row>
    <row r="39" spans="2:37" x14ac:dyDescent="0.25">
      <c r="E39" t="s">
        <v>36</v>
      </c>
      <c r="H39" t="s">
        <v>1016</v>
      </c>
      <c r="I39" s="59"/>
      <c r="J39" s="59"/>
      <c r="K39" s="59"/>
      <c r="L39" s="59"/>
      <c r="M39" s="59"/>
      <c r="N39" s="59"/>
      <c r="O39" s="59"/>
      <c r="P39" s="59"/>
      <c r="Q39" s="59"/>
      <c r="R39" s="59"/>
      <c r="S39" s="59">
        <v>0</v>
      </c>
      <c r="T39" s="59">
        <v>0</v>
      </c>
      <c r="U39" s="59">
        <v>0</v>
      </c>
      <c r="V39" s="59">
        <v>0</v>
      </c>
      <c r="W39" s="59">
        <f>SUMIFS(ConsevationBuildoutTracker!$U$16:$U$299,ConsevationBuildoutTracker!$E$16:$E$299,"CE",ConsevationBuildoutTracker!$G$16:$G$299,"CN",ConsevationBuildoutTracker!$I$16:$I$299,W$2)</f>
        <v>0</v>
      </c>
      <c r="X39" s="59">
        <f>SUMIFS(ConsevationBuildoutTracker!$U$16:$U$299,ConsevationBuildoutTracker!$E$16:$E$299,"CE",ConsevationBuildoutTracker!$G$16:$G$299,"CN",ConsevationBuildoutTracker!$I$16:$I$299,X$2)</f>
        <v>0</v>
      </c>
      <c r="Y39" s="59">
        <f>SUMIFS(ConsevationBuildoutTracker!$U$16:$U$299,ConsevationBuildoutTracker!$E$16:$E$299,"CE",ConsevationBuildoutTracker!$G$16:$G$299,"CN",ConsevationBuildoutTracker!$I$16:$I$299,Y$2)</f>
        <v>0</v>
      </c>
      <c r="Z39" s="59">
        <f>SUMIFS(ConsevationBuildoutTracker!$U$16:$U$299,ConsevationBuildoutTracker!$E$16:$E$299,"CE",ConsevationBuildoutTracker!$G$16:$G$299,"CN",ConsevationBuildoutTracker!$I$16:$I$299,Z$2)</f>
        <v>-22</v>
      </c>
      <c r="AA39" s="59">
        <f>SUMIFS(ConsevationBuildoutTracker!$U$16:$U$299,ConsevationBuildoutTracker!$E$16:$E$299,"CE",ConsevationBuildoutTracker!$G$16:$G$299,"CN",ConsevationBuildoutTracker!$I$16:$I$299,AA$2)</f>
        <v>0</v>
      </c>
      <c r="AB39" s="59">
        <f>SUMIFS(ConsevationBuildoutTracker!$U$16:$U$299,ConsevationBuildoutTracker!$E$16:$E$299,"CE",ConsevationBuildoutTracker!$G$16:$G$299,"CN",ConsevationBuildoutTracker!$I$16:$I$299,AB$2)</f>
        <v>0</v>
      </c>
      <c r="AC39" s="59">
        <f>SUMIFS(ConsevationBuildoutTracker!$U$16:$U$299,ConsevationBuildoutTracker!$E$16:$E$299,"CE",ConsevationBuildoutTracker!$G$16:$G$299,"CN",ConsevationBuildoutTracker!$I$16:$I$299,AC$2)</f>
        <v>0</v>
      </c>
      <c r="AD39" s="59">
        <f>SUMIFS(ConsevationBuildoutTracker!$U$16:$U$299,ConsevationBuildoutTracker!$E$16:$E$299,"CE",ConsevationBuildoutTracker!$G$16:$G$299,"CN",ConsevationBuildoutTracker!$I$16:$I$299,AD$2)</f>
        <v>0</v>
      </c>
      <c r="AE39" s="59">
        <f>SUMIFS(ConsevationBuildoutTracker!$U$16:$U$299,ConsevationBuildoutTracker!$E$16:$E$299,"CE",ConsevationBuildoutTracker!$G$16:$G$299,"CN",ConsevationBuildoutTracker!$I$16:$I$299,AE$2)</f>
        <v>0</v>
      </c>
      <c r="AF39" s="59">
        <f>SUMIFS(ConsevationBuildoutTracker!$U$16:$U$299,ConsevationBuildoutTracker!$E$16:$E$299,"CE",ConsevationBuildoutTracker!$G$16:$G$299,"CN",ConsevationBuildoutTracker!$I$16:$I$299,AF$2)</f>
        <v>0</v>
      </c>
      <c r="AG39" s="59">
        <f>SUMIFS(ConsevationBuildoutTracker!$U$16:$U$299,ConsevationBuildoutTracker!$E$16:$E$299,"CE",ConsevationBuildoutTracker!$G$16:$G$299,"CN",ConsevationBuildoutTracker!$I$16:$I$299,AG$2)</f>
        <v>0</v>
      </c>
      <c r="AH39" s="59">
        <f>SUMIFS(ConsevationBuildoutTracker!$U$16:$U$299,ConsevationBuildoutTracker!$E$16:$E$299,"CE",ConsevationBuildoutTracker!$G$16:$G$299,"CN",ConsevationBuildoutTracker!$I$16:$I$299,AH$2)</f>
        <v>0</v>
      </c>
      <c r="AI39" s="59">
        <f>SUMIFS(ConsevationBuildoutTracker!$U$16:$U$299,ConsevationBuildoutTracker!$E$16:$E$299,"CE",ConsevationBuildoutTracker!$G$16:$G$299,"CN",ConsevationBuildoutTracker!$I$16:$I$299,AI$2)</f>
        <v>0</v>
      </c>
      <c r="AJ39" s="59">
        <f>SUMIFS(ConsevationBuildoutTracker!$U$16:$U$299,ConsevationBuildoutTracker!$E$16:$E$299,"CE",ConsevationBuildoutTracker!$G$16:$G$299,"CN",ConsevationBuildoutTracker!$I$16:$I$299,AJ$2)</f>
        <v>0</v>
      </c>
      <c r="AK39" s="59">
        <f>SUMIFS(ConsevationBuildoutTracker!$U$16:$U$299,ConsevationBuildoutTracker!$E$16:$E$299,"CE",ConsevationBuildoutTracker!$G$16:$G$299,"CN",ConsevationBuildoutTracker!$I$16:$I$299,AK$2)</f>
        <v>0</v>
      </c>
    </row>
    <row r="40" spans="2:37" x14ac:dyDescent="0.25">
      <c r="E40" t="s">
        <v>37</v>
      </c>
      <c r="H40" t="s">
        <v>1016</v>
      </c>
      <c r="I40" s="59"/>
      <c r="J40" s="59"/>
      <c r="K40" s="59"/>
      <c r="L40" s="59"/>
      <c r="M40" s="59"/>
      <c r="N40" s="59"/>
      <c r="O40" s="59"/>
      <c r="P40" s="59"/>
      <c r="Q40" s="59"/>
      <c r="R40" s="59"/>
      <c r="S40" s="59">
        <v>0</v>
      </c>
      <c r="T40" s="59">
        <v>0</v>
      </c>
      <c r="U40" s="59">
        <v>0</v>
      </c>
      <c r="V40" s="59">
        <v>0</v>
      </c>
      <c r="W40" s="59">
        <f>SUMIFS(ConsevationBuildoutTracker!$U$16:$U$299,ConsevationBuildoutTracker!$E$16:$E$299,"CE",ConsevationBuildoutTracker!$G$16:$G$299,"R",ConsevationBuildoutTracker!$I$16:$I$299,W$2)</f>
        <v>0</v>
      </c>
      <c r="X40" s="59">
        <f>SUMIFS(ConsevationBuildoutTracker!$U$16:$U$299,ConsevationBuildoutTracker!$E$16:$E$299,"CE",ConsevationBuildoutTracker!$G$16:$G$299,"R",ConsevationBuildoutTracker!$I$16:$I$299,X$2)</f>
        <v>0</v>
      </c>
      <c r="Y40" s="59">
        <f>SUMIFS(ConsevationBuildoutTracker!$U$16:$U$299,ConsevationBuildoutTracker!$E$16:$E$299,"CE",ConsevationBuildoutTracker!$G$16:$G$299,"R",ConsevationBuildoutTracker!$I$16:$I$299,Y$2)</f>
        <v>0</v>
      </c>
      <c r="Z40" s="59">
        <f>SUMIFS(ConsevationBuildoutTracker!$U$16:$U$299,ConsevationBuildoutTracker!$E$16:$E$299,"CE",ConsevationBuildoutTracker!$G$16:$G$299,"R",ConsevationBuildoutTracker!$I$16:$I$299,Z$2)</f>
        <v>0</v>
      </c>
      <c r="AA40" s="59">
        <f>SUMIFS(ConsevationBuildoutTracker!$U$16:$U$299,ConsevationBuildoutTracker!$E$16:$E$299,"CE",ConsevationBuildoutTracker!$G$16:$G$299,"R",ConsevationBuildoutTracker!$I$16:$I$299,AA$2)</f>
        <v>0</v>
      </c>
      <c r="AB40" s="59">
        <f>SUMIFS(ConsevationBuildoutTracker!$U$16:$U$299,ConsevationBuildoutTracker!$E$16:$E$299,"CE",ConsevationBuildoutTracker!$G$16:$G$299,"R",ConsevationBuildoutTracker!$I$16:$I$299,AB$2)</f>
        <v>0</v>
      </c>
      <c r="AC40" s="59">
        <f>SUMIFS(ConsevationBuildoutTracker!$U$16:$U$299,ConsevationBuildoutTracker!$E$16:$E$299,"CE",ConsevationBuildoutTracker!$G$16:$G$299,"R",ConsevationBuildoutTracker!$I$16:$I$299,AC$2)</f>
        <v>0</v>
      </c>
      <c r="AD40" s="59">
        <f>SUMIFS(ConsevationBuildoutTracker!$U$16:$U$299,ConsevationBuildoutTracker!$E$16:$E$299,"CE",ConsevationBuildoutTracker!$G$16:$G$299,"R",ConsevationBuildoutTracker!$I$16:$I$299,AD$2)</f>
        <v>0</v>
      </c>
      <c r="AE40" s="59">
        <f>SUMIFS(ConsevationBuildoutTracker!$U$16:$U$299,ConsevationBuildoutTracker!$E$16:$E$299,"CE",ConsevationBuildoutTracker!$G$16:$G$299,"R",ConsevationBuildoutTracker!$I$16:$I$299,AE$2)</f>
        <v>0</v>
      </c>
      <c r="AF40" s="59">
        <f>SUMIFS(ConsevationBuildoutTracker!$U$16:$U$299,ConsevationBuildoutTracker!$E$16:$E$299,"CE",ConsevationBuildoutTracker!$G$16:$G$299,"R",ConsevationBuildoutTracker!$I$16:$I$299,AF$2)</f>
        <v>0</v>
      </c>
      <c r="AG40" s="59">
        <f>SUMIFS(ConsevationBuildoutTracker!$U$16:$U$299,ConsevationBuildoutTracker!$E$16:$E$299,"CE",ConsevationBuildoutTracker!$G$16:$G$299,"R",ConsevationBuildoutTracker!$I$16:$I$299,AG$2)</f>
        <v>0</v>
      </c>
      <c r="AH40" s="59">
        <f>SUMIFS(ConsevationBuildoutTracker!$U$16:$U$299,ConsevationBuildoutTracker!$E$16:$E$299,"CE",ConsevationBuildoutTracker!$G$16:$G$299,"R",ConsevationBuildoutTracker!$I$16:$I$299,AH$2)</f>
        <v>0</v>
      </c>
      <c r="AI40" s="59">
        <f>SUMIFS(ConsevationBuildoutTracker!$U$16:$U$299,ConsevationBuildoutTracker!$E$16:$E$299,"CE",ConsevationBuildoutTracker!$G$16:$G$299,"R",ConsevationBuildoutTracker!$I$16:$I$299,AI$2)</f>
        <v>0</v>
      </c>
      <c r="AJ40" s="59">
        <f>SUMIFS(ConsevationBuildoutTracker!$U$16:$U$299,ConsevationBuildoutTracker!$E$16:$E$299,"CE",ConsevationBuildoutTracker!$G$16:$G$299,"R",ConsevationBuildoutTracker!$I$16:$I$299,AJ$2)</f>
        <v>0</v>
      </c>
      <c r="AK40" s="59">
        <f>SUMIFS(ConsevationBuildoutTracker!$U$16:$U$299,ConsevationBuildoutTracker!$E$16:$E$299,"CE",ConsevationBuildoutTracker!$G$16:$G$299,"R",ConsevationBuildoutTracker!$I$16:$I$299,AK$2)</f>
        <v>0</v>
      </c>
    </row>
    <row r="41" spans="2:37" s="16" customFormat="1" x14ac:dyDescent="0.25">
      <c r="B41" s="17"/>
      <c r="D41" s="16" t="s">
        <v>28</v>
      </c>
      <c r="H41" s="16" t="s">
        <v>1016</v>
      </c>
      <c r="I41" s="61"/>
      <c r="J41" s="61"/>
      <c r="K41" s="61"/>
      <c r="L41" s="61"/>
      <c r="M41" s="61"/>
      <c r="N41" s="61"/>
      <c r="O41" s="61"/>
      <c r="P41" s="61"/>
      <c r="Q41" s="61"/>
      <c r="R41" s="61"/>
      <c r="S41" s="61">
        <f t="shared" ref="S41:AK41" si="9">SUM(S42:S43)</f>
        <v>0</v>
      </c>
      <c r="T41" s="61">
        <f t="shared" si="9"/>
        <v>0</v>
      </c>
      <c r="U41" s="61">
        <f t="shared" si="9"/>
        <v>0</v>
      </c>
      <c r="V41" s="61">
        <f t="shared" si="9"/>
        <v>0</v>
      </c>
      <c r="W41" s="61">
        <f t="shared" si="9"/>
        <v>0</v>
      </c>
      <c r="X41" s="61">
        <f t="shared" si="9"/>
        <v>0</v>
      </c>
      <c r="Y41" s="61">
        <f t="shared" si="9"/>
        <v>0</v>
      </c>
      <c r="Z41" s="61">
        <f t="shared" si="9"/>
        <v>0</v>
      </c>
      <c r="AA41" s="61">
        <f t="shared" si="9"/>
        <v>0</v>
      </c>
      <c r="AB41" s="61">
        <f t="shared" si="9"/>
        <v>0</v>
      </c>
      <c r="AC41" s="61">
        <f t="shared" si="9"/>
        <v>0</v>
      </c>
      <c r="AD41" s="61">
        <f t="shared" si="9"/>
        <v>0</v>
      </c>
      <c r="AE41" s="61">
        <f t="shared" si="9"/>
        <v>0</v>
      </c>
      <c r="AF41" s="61">
        <f t="shared" si="9"/>
        <v>0</v>
      </c>
      <c r="AG41" s="61">
        <f t="shared" si="9"/>
        <v>0</v>
      </c>
      <c r="AH41" s="61">
        <f t="shared" si="9"/>
        <v>0</v>
      </c>
      <c r="AI41" s="61">
        <f t="shared" si="9"/>
        <v>0</v>
      </c>
      <c r="AJ41" s="61">
        <f t="shared" si="9"/>
        <v>0</v>
      </c>
      <c r="AK41" s="61">
        <f t="shared" si="9"/>
        <v>0</v>
      </c>
    </row>
    <row r="42" spans="2:37" x14ac:dyDescent="0.25">
      <c r="E42" t="s">
        <v>36</v>
      </c>
      <c r="H42" t="s">
        <v>1016</v>
      </c>
      <c r="I42" s="59"/>
      <c r="J42" s="59"/>
      <c r="K42" s="59"/>
      <c r="L42" s="59"/>
      <c r="M42" s="59"/>
      <c r="N42" s="59"/>
      <c r="O42" s="59"/>
      <c r="P42" s="59"/>
      <c r="Q42" s="59"/>
      <c r="R42" s="59"/>
      <c r="S42" s="59">
        <v>0</v>
      </c>
      <c r="T42" s="59">
        <v>0</v>
      </c>
      <c r="U42" s="59">
        <v>0</v>
      </c>
      <c r="V42" s="59">
        <v>0</v>
      </c>
      <c r="W42" s="59">
        <f>SUMIFS(ConsevationBuildoutTracker!$U$16:$U$299,ConsevationBuildoutTracker!$E$16:$E$299,"PPT",ConsevationBuildoutTracker!$G$16:$G$299,"CN",ConsevationBuildoutTracker!$I$16:$I$299,W$2)</f>
        <v>0</v>
      </c>
      <c r="X42" s="59">
        <f>SUMIFS(ConsevationBuildoutTracker!$U$16:$U$299,ConsevationBuildoutTracker!$E$16:$E$299,"PPT",ConsevationBuildoutTracker!$G$16:$G$299,"CN",ConsevationBuildoutTracker!$I$16:$I$299,X$2)</f>
        <v>0</v>
      </c>
      <c r="Y42" s="59">
        <f>SUMIFS(ConsevationBuildoutTracker!$U$16:$U$299,ConsevationBuildoutTracker!$E$16:$E$299,"PPT",ConsevationBuildoutTracker!$G$16:$G$299,"CN",ConsevationBuildoutTracker!$I$16:$I$299,Y$2)</f>
        <v>0</v>
      </c>
      <c r="Z42" s="59">
        <f>SUMIFS(ConsevationBuildoutTracker!$U$16:$U$299,ConsevationBuildoutTracker!$E$16:$E$299,"PPT",ConsevationBuildoutTracker!$G$16:$G$299,"CN",ConsevationBuildoutTracker!$I$16:$I$299,Z$2)</f>
        <v>0</v>
      </c>
      <c r="AA42" s="59">
        <f>SUMIFS(ConsevationBuildoutTracker!$U$16:$U$299,ConsevationBuildoutTracker!$E$16:$E$299,"PPT",ConsevationBuildoutTracker!$G$16:$G$299,"CN",ConsevationBuildoutTracker!$I$16:$I$299,AA$2)</f>
        <v>0</v>
      </c>
      <c r="AB42" s="59">
        <f>SUMIFS(ConsevationBuildoutTracker!$U$16:$U$299,ConsevationBuildoutTracker!$E$16:$E$299,"PPT",ConsevationBuildoutTracker!$G$16:$G$299,"CN",ConsevationBuildoutTracker!$I$16:$I$299,AB$2)</f>
        <v>0</v>
      </c>
      <c r="AC42" s="59">
        <f>SUMIFS(ConsevationBuildoutTracker!$U$16:$U$299,ConsevationBuildoutTracker!$E$16:$E$299,"PPT",ConsevationBuildoutTracker!$G$16:$G$299,"CN",ConsevationBuildoutTracker!$I$16:$I$299,AC$2)</f>
        <v>0</v>
      </c>
      <c r="AD42" s="59">
        <f>SUMIFS(ConsevationBuildoutTracker!$U$16:$U$299,ConsevationBuildoutTracker!$E$16:$E$299,"PPT",ConsevationBuildoutTracker!$G$16:$G$299,"CN",ConsevationBuildoutTracker!$I$16:$I$299,AD$2)</f>
        <v>0</v>
      </c>
      <c r="AE42" s="59">
        <f>SUMIFS(ConsevationBuildoutTracker!$U$16:$U$299,ConsevationBuildoutTracker!$E$16:$E$299,"PPT",ConsevationBuildoutTracker!$G$16:$G$299,"CN",ConsevationBuildoutTracker!$I$16:$I$299,AE$2)</f>
        <v>0</v>
      </c>
      <c r="AF42" s="59">
        <f>SUMIFS(ConsevationBuildoutTracker!$U$16:$U$299,ConsevationBuildoutTracker!$E$16:$E$299,"PPT",ConsevationBuildoutTracker!$G$16:$G$299,"CN",ConsevationBuildoutTracker!$I$16:$I$299,AF$2)</f>
        <v>0</v>
      </c>
      <c r="AG42" s="59">
        <f>SUMIFS(ConsevationBuildoutTracker!$U$16:$U$299,ConsevationBuildoutTracker!$E$16:$E$299,"PPT",ConsevationBuildoutTracker!$G$16:$G$299,"CN",ConsevationBuildoutTracker!$I$16:$I$299,AG$2)</f>
        <v>0</v>
      </c>
      <c r="AH42" s="59">
        <f>SUMIFS(ConsevationBuildoutTracker!$U$16:$U$299,ConsevationBuildoutTracker!$E$16:$E$299,"PPT",ConsevationBuildoutTracker!$G$16:$G$299,"CN",ConsevationBuildoutTracker!$I$16:$I$299,AH$2)</f>
        <v>0</v>
      </c>
      <c r="AI42" s="59">
        <f>SUMIFS(ConsevationBuildoutTracker!$U$16:$U$299,ConsevationBuildoutTracker!$E$16:$E$299,"PPT",ConsevationBuildoutTracker!$G$16:$G$299,"CN",ConsevationBuildoutTracker!$I$16:$I$299,AI$2)</f>
        <v>0</v>
      </c>
      <c r="AJ42" s="59">
        <f>SUMIFS(ConsevationBuildoutTracker!$U$16:$U$299,ConsevationBuildoutTracker!$E$16:$E$299,"PPT",ConsevationBuildoutTracker!$G$16:$G$299,"CN",ConsevationBuildoutTracker!$I$16:$I$299,AJ$2)</f>
        <v>0</v>
      </c>
      <c r="AK42" s="59">
        <f>SUMIFS(ConsevationBuildoutTracker!$U$16:$U$299,ConsevationBuildoutTracker!$E$16:$E$299,"PPT",ConsevationBuildoutTracker!$G$16:$G$299,"CN",ConsevationBuildoutTracker!$I$16:$I$299,AK$2)</f>
        <v>0</v>
      </c>
    </row>
    <row r="43" spans="2:37" x14ac:dyDescent="0.25">
      <c r="E43" t="s">
        <v>37</v>
      </c>
      <c r="H43" t="s">
        <v>1016</v>
      </c>
      <c r="I43" s="59"/>
      <c r="J43" s="59"/>
      <c r="K43" s="59"/>
      <c r="L43" s="59"/>
      <c r="M43" s="59"/>
      <c r="N43" s="59"/>
      <c r="O43" s="59"/>
      <c r="P43" s="59"/>
      <c r="Q43" s="59"/>
      <c r="R43" s="59"/>
      <c r="S43" s="59">
        <v>0</v>
      </c>
      <c r="T43" s="59">
        <v>0</v>
      </c>
      <c r="U43" s="59">
        <v>0</v>
      </c>
      <c r="V43" s="59">
        <v>0</v>
      </c>
      <c r="W43" s="59">
        <f>SUMIFS(ConsevationBuildoutTracker!$U$16:$U$299,ConsevationBuildoutTracker!$E$16:$E$299,"PPT",ConsevationBuildoutTracker!$G$16:$G$299,"R",ConsevationBuildoutTracker!$I$16:$I$299,W$2)</f>
        <v>0</v>
      </c>
      <c r="X43" s="59">
        <f>SUMIFS(ConsevationBuildoutTracker!$U$16:$U$299,ConsevationBuildoutTracker!$E$16:$E$299,"PPT",ConsevationBuildoutTracker!$G$16:$G$299,"R",ConsevationBuildoutTracker!$I$16:$I$299,X$2)</f>
        <v>0</v>
      </c>
      <c r="Y43" s="59">
        <f>SUMIFS(ConsevationBuildoutTracker!$U$16:$U$299,ConsevationBuildoutTracker!$E$16:$E$299,"PPT",ConsevationBuildoutTracker!$G$16:$G$299,"R",ConsevationBuildoutTracker!$I$16:$I$299,Y$2)</f>
        <v>0</v>
      </c>
      <c r="Z43" s="59">
        <f>SUMIFS(ConsevationBuildoutTracker!$U$16:$U$299,ConsevationBuildoutTracker!$E$16:$E$299,"PPT",ConsevationBuildoutTracker!$G$16:$G$299,"R",ConsevationBuildoutTracker!$I$16:$I$299,Z$2)</f>
        <v>0</v>
      </c>
      <c r="AA43" s="59">
        <f>SUMIFS(ConsevationBuildoutTracker!$U$16:$U$299,ConsevationBuildoutTracker!$E$16:$E$299,"PPT",ConsevationBuildoutTracker!$G$16:$G$299,"R",ConsevationBuildoutTracker!$I$16:$I$299,AA$2)</f>
        <v>0</v>
      </c>
      <c r="AB43" s="59">
        <f>SUMIFS(ConsevationBuildoutTracker!$U$16:$U$299,ConsevationBuildoutTracker!$E$16:$E$299,"PPT",ConsevationBuildoutTracker!$G$16:$G$299,"R",ConsevationBuildoutTracker!$I$16:$I$299,AB$2)</f>
        <v>0</v>
      </c>
      <c r="AC43" s="59">
        <f>SUMIFS(ConsevationBuildoutTracker!$U$16:$U$299,ConsevationBuildoutTracker!$E$16:$E$299,"PPT",ConsevationBuildoutTracker!$G$16:$G$299,"R",ConsevationBuildoutTracker!$I$16:$I$299,AC$2)</f>
        <v>0</v>
      </c>
      <c r="AD43" s="59">
        <f>SUMIFS(ConsevationBuildoutTracker!$U$16:$U$299,ConsevationBuildoutTracker!$E$16:$E$299,"PPT",ConsevationBuildoutTracker!$G$16:$G$299,"R",ConsevationBuildoutTracker!$I$16:$I$299,AD$2)</f>
        <v>0</v>
      </c>
      <c r="AE43" s="59">
        <f>SUMIFS(ConsevationBuildoutTracker!$U$16:$U$299,ConsevationBuildoutTracker!$E$16:$E$299,"PPT",ConsevationBuildoutTracker!$G$16:$G$299,"R",ConsevationBuildoutTracker!$I$16:$I$299,AE$2)</f>
        <v>0</v>
      </c>
      <c r="AF43" s="59">
        <f>SUMIFS(ConsevationBuildoutTracker!$U$16:$U$299,ConsevationBuildoutTracker!$E$16:$E$299,"PPT",ConsevationBuildoutTracker!$G$16:$G$299,"R",ConsevationBuildoutTracker!$I$16:$I$299,AF$2)</f>
        <v>0</v>
      </c>
      <c r="AG43" s="59">
        <f>SUMIFS(ConsevationBuildoutTracker!$U$16:$U$299,ConsevationBuildoutTracker!$E$16:$E$299,"PPT",ConsevationBuildoutTracker!$G$16:$G$299,"R",ConsevationBuildoutTracker!$I$16:$I$299,AG$2)</f>
        <v>0</v>
      </c>
      <c r="AH43" s="59">
        <f>SUMIFS(ConsevationBuildoutTracker!$U$16:$U$299,ConsevationBuildoutTracker!$E$16:$E$299,"PPT",ConsevationBuildoutTracker!$G$16:$G$299,"R",ConsevationBuildoutTracker!$I$16:$I$299,AH$2)</f>
        <v>0</v>
      </c>
      <c r="AI43" s="59">
        <f>SUMIFS(ConsevationBuildoutTracker!$U$16:$U$299,ConsevationBuildoutTracker!$E$16:$E$299,"PPT",ConsevationBuildoutTracker!$G$16:$G$299,"R",ConsevationBuildoutTracker!$I$16:$I$299,AI$2)</f>
        <v>0</v>
      </c>
      <c r="AJ43" s="59">
        <f>SUMIFS(ConsevationBuildoutTracker!$U$16:$U$299,ConsevationBuildoutTracker!$E$16:$E$299,"PPT",ConsevationBuildoutTracker!$G$16:$G$299,"R",ConsevationBuildoutTracker!$I$16:$I$299,AJ$2)</f>
        <v>0</v>
      </c>
      <c r="AK43" s="59">
        <f>SUMIFS(ConsevationBuildoutTracker!$U$16:$U$299,ConsevationBuildoutTracker!$E$16:$E$299,"PPT",ConsevationBuildoutTracker!$G$16:$G$299,"R",ConsevationBuildoutTracker!$I$16:$I$299,AK$2)</f>
        <v>0</v>
      </c>
    </row>
    <row r="44" spans="2:37" s="13" customFormat="1" x14ac:dyDescent="0.25">
      <c r="B44" s="14"/>
      <c r="C44" s="13" t="s">
        <v>42</v>
      </c>
      <c r="H44" s="13" t="s">
        <v>1017</v>
      </c>
      <c r="I44" s="62"/>
      <c r="J44" s="62"/>
      <c r="K44" s="62"/>
      <c r="L44" s="62"/>
      <c r="M44" s="62"/>
      <c r="N44" s="62"/>
      <c r="O44" s="62"/>
      <c r="P44" s="62"/>
      <c r="Q44" s="62"/>
      <c r="R44" s="62"/>
      <c r="S44" s="62">
        <f t="shared" ref="S44:AK44" si="10">SUM(S45,S48,S51)</f>
        <v>0</v>
      </c>
      <c r="T44" s="62">
        <f t="shared" si="10"/>
        <v>0</v>
      </c>
      <c r="U44" s="62">
        <f t="shared" si="10"/>
        <v>0</v>
      </c>
      <c r="V44" s="62">
        <f t="shared" si="10"/>
        <v>-451</v>
      </c>
      <c r="W44" s="62">
        <f t="shared" si="10"/>
        <v>94379.124242499995</v>
      </c>
      <c r="X44" s="62">
        <f t="shared" si="10"/>
        <v>-30650.994000000002</v>
      </c>
      <c r="Y44" s="62">
        <f t="shared" si="10"/>
        <v>32476.594000000001</v>
      </c>
      <c r="Z44" s="62">
        <f t="shared" si="10"/>
        <v>-9339</v>
      </c>
      <c r="AA44" s="62">
        <f t="shared" si="10"/>
        <v>-8102.1599999999962</v>
      </c>
      <c r="AB44" s="62">
        <f t="shared" si="10"/>
        <v>0</v>
      </c>
      <c r="AC44" s="62">
        <f t="shared" si="10"/>
        <v>0</v>
      </c>
      <c r="AD44" s="62">
        <f t="shared" si="10"/>
        <v>0</v>
      </c>
      <c r="AE44" s="62">
        <f t="shared" si="10"/>
        <v>0</v>
      </c>
      <c r="AF44" s="62">
        <f t="shared" si="10"/>
        <v>0</v>
      </c>
      <c r="AG44" s="62">
        <f t="shared" si="10"/>
        <v>0</v>
      </c>
      <c r="AH44" s="62">
        <f t="shared" si="10"/>
        <v>0</v>
      </c>
      <c r="AI44" s="62">
        <f t="shared" si="10"/>
        <v>0</v>
      </c>
      <c r="AJ44" s="62">
        <f t="shared" si="10"/>
        <v>0</v>
      </c>
      <c r="AK44" s="62">
        <f t="shared" si="10"/>
        <v>0</v>
      </c>
    </row>
    <row r="45" spans="2:37" s="16" customFormat="1" x14ac:dyDescent="0.25">
      <c r="B45" s="17"/>
      <c r="D45" s="16" t="s">
        <v>41</v>
      </c>
      <c r="H45" s="16" t="s">
        <v>1017</v>
      </c>
      <c r="I45" s="61"/>
      <c r="J45" s="61"/>
      <c r="K45" s="61"/>
      <c r="L45" s="61"/>
      <c r="M45" s="61"/>
      <c r="N45" s="61"/>
      <c r="O45" s="61"/>
      <c r="P45" s="61"/>
      <c r="Q45" s="61"/>
      <c r="R45" s="61"/>
      <c r="S45" s="61">
        <f t="shared" ref="S45:AK45" si="11">SUM(S46:S47)</f>
        <v>0</v>
      </c>
      <c r="T45" s="61">
        <f t="shared" si="11"/>
        <v>0</v>
      </c>
      <c r="U45" s="61">
        <f t="shared" si="11"/>
        <v>0</v>
      </c>
      <c r="V45" s="61">
        <f t="shared" si="11"/>
        <v>-451</v>
      </c>
      <c r="W45" s="61">
        <f t="shared" si="11"/>
        <v>104425.0185625</v>
      </c>
      <c r="X45" s="61">
        <f t="shared" si="11"/>
        <v>-30056.400000000001</v>
      </c>
      <c r="Y45" s="61">
        <f t="shared" si="11"/>
        <v>34854.97</v>
      </c>
      <c r="Z45" s="61">
        <f t="shared" si="11"/>
        <v>0</v>
      </c>
      <c r="AA45" s="61">
        <f t="shared" si="11"/>
        <v>-8102.1599999999962</v>
      </c>
      <c r="AB45" s="61">
        <f t="shared" si="11"/>
        <v>0</v>
      </c>
      <c r="AC45" s="61">
        <f t="shared" si="11"/>
        <v>0</v>
      </c>
      <c r="AD45" s="61">
        <f t="shared" si="11"/>
        <v>0</v>
      </c>
      <c r="AE45" s="61">
        <f t="shared" si="11"/>
        <v>0</v>
      </c>
      <c r="AF45" s="61">
        <f t="shared" si="11"/>
        <v>0</v>
      </c>
      <c r="AG45" s="61">
        <f t="shared" si="11"/>
        <v>0</v>
      </c>
      <c r="AH45" s="61">
        <f t="shared" si="11"/>
        <v>0</v>
      </c>
      <c r="AI45" s="61">
        <f t="shared" si="11"/>
        <v>0</v>
      </c>
      <c r="AJ45" s="61">
        <f t="shared" si="11"/>
        <v>0</v>
      </c>
      <c r="AK45" s="61">
        <f t="shared" si="11"/>
        <v>0</v>
      </c>
    </row>
    <row r="46" spans="2:37" x14ac:dyDescent="0.25">
      <c r="E46" t="s">
        <v>36</v>
      </c>
      <c r="H46" t="s">
        <v>1017</v>
      </c>
      <c r="I46" s="59"/>
      <c r="J46" s="59"/>
      <c r="K46" s="59"/>
      <c r="L46" s="59"/>
      <c r="M46" s="59"/>
      <c r="N46" s="59"/>
      <c r="O46" s="59"/>
      <c r="P46" s="59"/>
      <c r="Q46" s="59"/>
      <c r="R46" s="59"/>
      <c r="S46" s="59">
        <v>0</v>
      </c>
      <c r="T46" s="59">
        <v>0</v>
      </c>
      <c r="U46" s="59">
        <v>0</v>
      </c>
      <c r="V46" s="59">
        <v>-451</v>
      </c>
      <c r="W46" s="59">
        <f>SUMIFS(ConsevationBuildoutTracker!$V$16:$V$299,ConsevationBuildoutTracker!$E$16:$E$299,"AMD",ConsevationBuildoutTracker!$G$16:$G$299,"CN",ConsevationBuildoutTracker!$I$16:$I$299,W$2)</f>
        <v>104425.0185625</v>
      </c>
      <c r="X46" s="59">
        <f>SUMIFS(ConsevationBuildoutTracker!$V$16:$V$299,ConsevationBuildoutTracker!$E$16:$E$299,"AMD",ConsevationBuildoutTracker!$G$16:$G$299,"CN",ConsevationBuildoutTracker!$I$16:$I$299,X$2)</f>
        <v>-30056.400000000001</v>
      </c>
      <c r="Y46" s="59">
        <f>SUMIFS(ConsevationBuildoutTracker!$V$16:$V$299,ConsevationBuildoutTracker!$E$16:$E$299,"AMD",ConsevationBuildoutTracker!$G$16:$G$299,"CN",ConsevationBuildoutTracker!$I$16:$I$299,Y$2)</f>
        <v>34854.97</v>
      </c>
      <c r="Z46" s="59">
        <f>SUMIFS(ConsevationBuildoutTracker!$V$16:$V$299,ConsevationBuildoutTracker!$E$16:$E$299,"AMD",ConsevationBuildoutTracker!$G$16:$G$299,"CN",ConsevationBuildoutTracker!$I$16:$I$299,Z$2)</f>
        <v>0</v>
      </c>
      <c r="AA46" s="59">
        <f>SUMIFS(ConsevationBuildoutTracker!$V$16:$V$299,ConsevationBuildoutTracker!$E$16:$E$299,"AMD",ConsevationBuildoutTracker!$G$16:$G$299,"CN",ConsevationBuildoutTracker!$I$16:$I$299,AA$2)</f>
        <v>-8102.1599999999962</v>
      </c>
      <c r="AB46" s="59">
        <f>SUMIFS(ConsevationBuildoutTracker!$V$16:$V$299,ConsevationBuildoutTracker!$E$16:$E$299,"AMD",ConsevationBuildoutTracker!$G$16:$G$299,"CN",ConsevationBuildoutTracker!$I$16:$I$299,AB$2)</f>
        <v>0</v>
      </c>
      <c r="AC46" s="59">
        <f>SUMIFS(ConsevationBuildoutTracker!$V$16:$V$299,ConsevationBuildoutTracker!$E$16:$E$299,"AMD",ConsevationBuildoutTracker!$G$16:$G$299,"CN",ConsevationBuildoutTracker!$I$16:$I$299,AC$2)</f>
        <v>0</v>
      </c>
      <c r="AD46" s="59">
        <f>SUMIFS(ConsevationBuildoutTracker!$V$16:$V$299,ConsevationBuildoutTracker!$E$16:$E$299,"AMD",ConsevationBuildoutTracker!$G$16:$G$299,"CN",ConsevationBuildoutTracker!$I$16:$I$299,AD$2)</f>
        <v>0</v>
      </c>
      <c r="AE46" s="59">
        <f>SUMIFS(ConsevationBuildoutTracker!$V$16:$V$299,ConsevationBuildoutTracker!$E$16:$E$299,"AMD",ConsevationBuildoutTracker!$G$16:$G$299,"CN",ConsevationBuildoutTracker!$I$16:$I$299,AE$2)</f>
        <v>0</v>
      </c>
      <c r="AF46" s="59">
        <f>SUMIFS(ConsevationBuildoutTracker!$V$16:$V$299,ConsevationBuildoutTracker!$E$16:$E$299,"AMD",ConsevationBuildoutTracker!$G$16:$G$299,"CN",ConsevationBuildoutTracker!$I$16:$I$299,AF$2)</f>
        <v>0</v>
      </c>
      <c r="AG46" s="59">
        <f>SUMIFS(ConsevationBuildoutTracker!$V$16:$V$299,ConsevationBuildoutTracker!$E$16:$E$299,"AMD",ConsevationBuildoutTracker!$G$16:$G$299,"CN",ConsevationBuildoutTracker!$I$16:$I$299,AG$2)</f>
        <v>0</v>
      </c>
      <c r="AH46" s="59">
        <f>SUMIFS(ConsevationBuildoutTracker!$V$16:$V$299,ConsevationBuildoutTracker!$E$16:$E$299,"AMD",ConsevationBuildoutTracker!$G$16:$G$299,"CN",ConsevationBuildoutTracker!$I$16:$I$299,AH$2)</f>
        <v>0</v>
      </c>
      <c r="AI46" s="59">
        <f>SUMIFS(ConsevationBuildoutTracker!$V$16:$V$299,ConsevationBuildoutTracker!$E$16:$E$299,"AMD",ConsevationBuildoutTracker!$G$16:$G$299,"CN",ConsevationBuildoutTracker!$I$16:$I$299,AI$2)</f>
        <v>0</v>
      </c>
      <c r="AJ46" s="59">
        <f>SUMIFS(ConsevationBuildoutTracker!$V$16:$V$299,ConsevationBuildoutTracker!$E$16:$E$299,"AMD",ConsevationBuildoutTracker!$G$16:$G$299,"CN",ConsevationBuildoutTracker!$I$16:$I$299,AJ$2)</f>
        <v>0</v>
      </c>
      <c r="AK46" s="59">
        <f>SUMIFS(ConsevationBuildoutTracker!$V$16:$V$299,ConsevationBuildoutTracker!$E$16:$E$299,"AMD",ConsevationBuildoutTracker!$G$16:$G$299,"CN",ConsevationBuildoutTracker!$I$16:$I$299,AK$2)</f>
        <v>0</v>
      </c>
    </row>
    <row r="47" spans="2:37" x14ac:dyDescent="0.25">
      <c r="E47" t="s">
        <v>37</v>
      </c>
      <c r="H47" t="s">
        <v>1017</v>
      </c>
      <c r="I47" s="59"/>
      <c r="J47" s="59"/>
      <c r="K47" s="59"/>
      <c r="L47" s="59"/>
      <c r="M47" s="59"/>
      <c r="N47" s="59"/>
      <c r="O47" s="59"/>
      <c r="P47" s="59"/>
      <c r="Q47" s="59"/>
      <c r="R47" s="59"/>
      <c r="S47" s="59">
        <v>0</v>
      </c>
      <c r="T47" s="59">
        <v>0</v>
      </c>
      <c r="U47" s="59">
        <v>0</v>
      </c>
      <c r="V47" s="59">
        <v>0</v>
      </c>
      <c r="W47" s="59">
        <f>SUMIFS(ConsevationBuildoutTracker!$V$16:$V$299,ConsevationBuildoutTracker!$E$16:$E$299,"AMD",ConsevationBuildoutTracker!$G$16:$G$299,"R",ConsevationBuildoutTracker!$I$16:$I$299,W$2)</f>
        <v>0</v>
      </c>
      <c r="X47" s="59">
        <f>SUMIFS(ConsevationBuildoutTracker!$V$16:$V$299,ConsevationBuildoutTracker!$E$16:$E$299,"AMD",ConsevationBuildoutTracker!$G$16:$G$299,"R",ConsevationBuildoutTracker!$I$16:$I$299,X$2)</f>
        <v>0</v>
      </c>
      <c r="Y47" s="59">
        <f>SUMIFS(ConsevationBuildoutTracker!$V$16:$V$299,ConsevationBuildoutTracker!$E$16:$E$299,"AMD",ConsevationBuildoutTracker!$G$16:$G$299,"R",ConsevationBuildoutTracker!$I$16:$I$299,Y$2)</f>
        <v>0</v>
      </c>
      <c r="Z47" s="59">
        <f>SUMIFS(ConsevationBuildoutTracker!$V$16:$V$299,ConsevationBuildoutTracker!$E$16:$E$299,"AMD",ConsevationBuildoutTracker!$G$16:$G$299,"R",ConsevationBuildoutTracker!$I$16:$I$299,Z$2)</f>
        <v>0</v>
      </c>
      <c r="AA47" s="59">
        <f>SUMIFS(ConsevationBuildoutTracker!$V$16:$V$299,ConsevationBuildoutTracker!$E$16:$E$299,"AMD",ConsevationBuildoutTracker!$G$16:$G$299,"R",ConsevationBuildoutTracker!$I$16:$I$299,AA$2)</f>
        <v>0</v>
      </c>
      <c r="AB47" s="59">
        <f>SUMIFS(ConsevationBuildoutTracker!$V$16:$V$299,ConsevationBuildoutTracker!$E$16:$E$299,"AMD",ConsevationBuildoutTracker!$G$16:$G$299,"R",ConsevationBuildoutTracker!$I$16:$I$299,AB$2)</f>
        <v>0</v>
      </c>
      <c r="AC47" s="59">
        <f>SUMIFS(ConsevationBuildoutTracker!$V$16:$V$299,ConsevationBuildoutTracker!$E$16:$E$299,"AMD",ConsevationBuildoutTracker!$G$16:$G$299,"R",ConsevationBuildoutTracker!$I$16:$I$299,AC$2)</f>
        <v>0</v>
      </c>
      <c r="AD47" s="59">
        <f>SUMIFS(ConsevationBuildoutTracker!$V$16:$V$299,ConsevationBuildoutTracker!$E$16:$E$299,"AMD",ConsevationBuildoutTracker!$G$16:$G$299,"R",ConsevationBuildoutTracker!$I$16:$I$299,AD$2)</f>
        <v>0</v>
      </c>
      <c r="AE47" s="59">
        <f>SUMIFS(ConsevationBuildoutTracker!$V$16:$V$299,ConsevationBuildoutTracker!$E$16:$E$299,"AMD",ConsevationBuildoutTracker!$G$16:$G$299,"R",ConsevationBuildoutTracker!$I$16:$I$299,AE$2)</f>
        <v>0</v>
      </c>
      <c r="AF47" s="59">
        <f>SUMIFS(ConsevationBuildoutTracker!$V$16:$V$299,ConsevationBuildoutTracker!$E$16:$E$299,"AMD",ConsevationBuildoutTracker!$G$16:$G$299,"R",ConsevationBuildoutTracker!$I$16:$I$299,AF$2)</f>
        <v>0</v>
      </c>
      <c r="AG47" s="59">
        <f>SUMIFS(ConsevationBuildoutTracker!$V$16:$V$299,ConsevationBuildoutTracker!$E$16:$E$299,"AMD",ConsevationBuildoutTracker!$G$16:$G$299,"R",ConsevationBuildoutTracker!$I$16:$I$299,AG$2)</f>
        <v>0</v>
      </c>
      <c r="AH47" s="59">
        <f>SUMIFS(ConsevationBuildoutTracker!$V$16:$V$299,ConsevationBuildoutTracker!$E$16:$E$299,"AMD",ConsevationBuildoutTracker!$G$16:$G$299,"R",ConsevationBuildoutTracker!$I$16:$I$299,AH$2)</f>
        <v>0</v>
      </c>
      <c r="AI47" s="59">
        <f>SUMIFS(ConsevationBuildoutTracker!$V$16:$V$299,ConsevationBuildoutTracker!$E$16:$E$299,"AMD",ConsevationBuildoutTracker!$G$16:$G$299,"R",ConsevationBuildoutTracker!$I$16:$I$299,AI$2)</f>
        <v>0</v>
      </c>
      <c r="AJ47" s="59">
        <f>SUMIFS(ConsevationBuildoutTracker!$V$16:$V$299,ConsevationBuildoutTracker!$E$16:$E$299,"AMD",ConsevationBuildoutTracker!$G$16:$G$299,"R",ConsevationBuildoutTracker!$I$16:$I$299,AJ$2)</f>
        <v>0</v>
      </c>
      <c r="AK47" s="59">
        <f>SUMIFS(ConsevationBuildoutTracker!$V$16:$V$299,ConsevationBuildoutTracker!$E$16:$E$299,"AMD",ConsevationBuildoutTracker!$G$16:$G$299,"R",ConsevationBuildoutTracker!$I$16:$I$299,AK$2)</f>
        <v>0</v>
      </c>
    </row>
    <row r="48" spans="2:37" s="16" customFormat="1" x14ac:dyDescent="0.25">
      <c r="B48" s="17"/>
      <c r="D48" s="16" t="s">
        <v>4</v>
      </c>
      <c r="H48" s="16" t="s">
        <v>1017</v>
      </c>
      <c r="I48" s="61"/>
      <c r="J48" s="61"/>
      <c r="K48" s="61"/>
      <c r="L48" s="61"/>
      <c r="M48" s="61"/>
      <c r="N48" s="61"/>
      <c r="O48" s="61"/>
      <c r="P48" s="61"/>
      <c r="Q48" s="61"/>
      <c r="R48" s="61"/>
      <c r="S48" s="61">
        <f t="shared" ref="S48:AK48" si="12">SUM(S49:S50)</f>
        <v>0</v>
      </c>
      <c r="T48" s="61">
        <f t="shared" si="12"/>
        <v>0</v>
      </c>
      <c r="U48" s="61">
        <f t="shared" si="12"/>
        <v>0</v>
      </c>
      <c r="V48" s="61">
        <f t="shared" si="12"/>
        <v>0</v>
      </c>
      <c r="W48" s="61">
        <f t="shared" si="12"/>
        <v>0</v>
      </c>
      <c r="X48" s="61">
        <f t="shared" si="12"/>
        <v>-594.59400000000005</v>
      </c>
      <c r="Y48" s="61">
        <f t="shared" si="12"/>
        <v>-2378.3760000000002</v>
      </c>
      <c r="Z48" s="61">
        <f t="shared" si="12"/>
        <v>-9339</v>
      </c>
      <c r="AA48" s="61">
        <f t="shared" si="12"/>
        <v>0</v>
      </c>
      <c r="AB48" s="61">
        <f t="shared" si="12"/>
        <v>0</v>
      </c>
      <c r="AC48" s="61">
        <f t="shared" si="12"/>
        <v>0</v>
      </c>
      <c r="AD48" s="61">
        <f t="shared" si="12"/>
        <v>0</v>
      </c>
      <c r="AE48" s="61">
        <f t="shared" si="12"/>
        <v>0</v>
      </c>
      <c r="AF48" s="61">
        <f t="shared" si="12"/>
        <v>0</v>
      </c>
      <c r="AG48" s="61">
        <f t="shared" si="12"/>
        <v>0</v>
      </c>
      <c r="AH48" s="61">
        <f t="shared" si="12"/>
        <v>0</v>
      </c>
      <c r="AI48" s="61">
        <f t="shared" si="12"/>
        <v>0</v>
      </c>
      <c r="AJ48" s="61">
        <f t="shared" si="12"/>
        <v>0</v>
      </c>
      <c r="AK48" s="61">
        <f t="shared" si="12"/>
        <v>0</v>
      </c>
    </row>
    <row r="49" spans="1:37" x14ac:dyDescent="0.25">
      <c r="E49" t="s">
        <v>36</v>
      </c>
      <c r="H49" t="s">
        <v>1017</v>
      </c>
      <c r="I49" s="59"/>
      <c r="J49" s="59"/>
      <c r="K49" s="59"/>
      <c r="L49" s="59"/>
      <c r="M49" s="59"/>
      <c r="N49" s="59"/>
      <c r="O49" s="59"/>
      <c r="P49" s="59"/>
      <c r="Q49" s="59"/>
      <c r="R49" s="59"/>
      <c r="S49" s="59">
        <v>0</v>
      </c>
      <c r="T49" s="59">
        <v>0</v>
      </c>
      <c r="U49" s="59">
        <v>0</v>
      </c>
      <c r="V49" s="59">
        <v>0</v>
      </c>
      <c r="W49" s="59">
        <f>SUMIFS(ConsevationBuildoutTracker!$V$16:$V$299,ConsevationBuildoutTracker!$E$16:$E$299,"CE",ConsevationBuildoutTracker!$G$16:$G$299,"CN",ConsevationBuildoutTracker!$I$16:$I$299,W$2)</f>
        <v>0</v>
      </c>
      <c r="X49" s="59">
        <f>SUMIFS(ConsevationBuildoutTracker!$V$16:$V$299,ConsevationBuildoutTracker!$E$16:$E$299,"CE",ConsevationBuildoutTracker!$G$16:$G$299,"CN",ConsevationBuildoutTracker!$I$16:$I$299,X$2)</f>
        <v>0</v>
      </c>
      <c r="Y49" s="59">
        <f>SUMIFS(ConsevationBuildoutTracker!$V$16:$V$299,ConsevationBuildoutTracker!$E$16:$E$299,"CE",ConsevationBuildoutTracker!$G$16:$G$299,"CN",ConsevationBuildoutTracker!$I$16:$I$299,Y$2)</f>
        <v>0</v>
      </c>
      <c r="Z49" s="59">
        <f>SUMIFS(ConsevationBuildoutTracker!$V$16:$V$299,ConsevationBuildoutTracker!$E$16:$E$299,"CE",ConsevationBuildoutTracker!$G$16:$G$299,"CN",ConsevationBuildoutTracker!$I$16:$I$299,Z$2)</f>
        <v>-9339</v>
      </c>
      <c r="AA49" s="59">
        <f>SUMIFS(ConsevationBuildoutTracker!$V$16:$V$299,ConsevationBuildoutTracker!$E$16:$E$299,"CE",ConsevationBuildoutTracker!$G$16:$G$299,"CN",ConsevationBuildoutTracker!$I$16:$I$299,AA$2)</f>
        <v>0</v>
      </c>
      <c r="AB49" s="59">
        <f>SUMIFS(ConsevationBuildoutTracker!$V$16:$V$299,ConsevationBuildoutTracker!$E$16:$E$299,"CE",ConsevationBuildoutTracker!$G$16:$G$299,"CN",ConsevationBuildoutTracker!$I$16:$I$299,AB$2)</f>
        <v>0</v>
      </c>
      <c r="AC49" s="59">
        <f>SUMIFS(ConsevationBuildoutTracker!$V$16:$V$299,ConsevationBuildoutTracker!$E$16:$E$299,"CE",ConsevationBuildoutTracker!$G$16:$G$299,"CN",ConsevationBuildoutTracker!$I$16:$I$299,AC$2)</f>
        <v>0</v>
      </c>
      <c r="AD49" s="59">
        <f>SUMIFS(ConsevationBuildoutTracker!$V$16:$V$299,ConsevationBuildoutTracker!$E$16:$E$299,"CE",ConsevationBuildoutTracker!$G$16:$G$299,"CN",ConsevationBuildoutTracker!$I$16:$I$299,AD$2)</f>
        <v>0</v>
      </c>
      <c r="AE49" s="59">
        <f>SUMIFS(ConsevationBuildoutTracker!$V$16:$V$299,ConsevationBuildoutTracker!$E$16:$E$299,"CE",ConsevationBuildoutTracker!$G$16:$G$299,"CN",ConsevationBuildoutTracker!$I$16:$I$299,AE$2)</f>
        <v>0</v>
      </c>
      <c r="AF49" s="59">
        <f>SUMIFS(ConsevationBuildoutTracker!$V$16:$V$299,ConsevationBuildoutTracker!$E$16:$E$299,"CE",ConsevationBuildoutTracker!$G$16:$G$299,"CN",ConsevationBuildoutTracker!$I$16:$I$299,AF$2)</f>
        <v>0</v>
      </c>
      <c r="AG49" s="59">
        <f>SUMIFS(ConsevationBuildoutTracker!$V$16:$V$299,ConsevationBuildoutTracker!$E$16:$E$299,"CE",ConsevationBuildoutTracker!$G$16:$G$299,"CN",ConsevationBuildoutTracker!$I$16:$I$299,AG$2)</f>
        <v>0</v>
      </c>
      <c r="AH49" s="59">
        <f>SUMIFS(ConsevationBuildoutTracker!$V$16:$V$299,ConsevationBuildoutTracker!$E$16:$E$299,"CE",ConsevationBuildoutTracker!$G$16:$G$299,"CN",ConsevationBuildoutTracker!$I$16:$I$299,AH$2)</f>
        <v>0</v>
      </c>
      <c r="AI49" s="59">
        <f>SUMIFS(ConsevationBuildoutTracker!$V$16:$V$299,ConsevationBuildoutTracker!$E$16:$E$299,"CE",ConsevationBuildoutTracker!$G$16:$G$299,"CN",ConsevationBuildoutTracker!$I$16:$I$299,AI$2)</f>
        <v>0</v>
      </c>
      <c r="AJ49" s="59">
        <f>SUMIFS(ConsevationBuildoutTracker!$V$16:$V$299,ConsevationBuildoutTracker!$E$16:$E$299,"CE",ConsevationBuildoutTracker!$G$16:$G$299,"CN",ConsevationBuildoutTracker!$I$16:$I$299,AJ$2)</f>
        <v>0</v>
      </c>
      <c r="AK49" s="59">
        <f>SUMIFS(ConsevationBuildoutTracker!$V$16:$V$299,ConsevationBuildoutTracker!$E$16:$E$299,"CE",ConsevationBuildoutTracker!$G$16:$G$299,"CN",ConsevationBuildoutTracker!$I$16:$I$299,AK$2)</f>
        <v>0</v>
      </c>
    </row>
    <row r="50" spans="1:37" x14ac:dyDescent="0.25">
      <c r="E50" t="s">
        <v>37</v>
      </c>
      <c r="H50" t="s">
        <v>1017</v>
      </c>
      <c r="I50" s="59"/>
      <c r="J50" s="59"/>
      <c r="K50" s="59"/>
      <c r="L50" s="59"/>
      <c r="M50" s="59"/>
      <c r="N50" s="59"/>
      <c r="O50" s="59"/>
      <c r="P50" s="59"/>
      <c r="Q50" s="59"/>
      <c r="R50" s="59"/>
      <c r="S50" s="59">
        <v>0</v>
      </c>
      <c r="T50" s="59">
        <v>0</v>
      </c>
      <c r="U50" s="59">
        <v>0</v>
      </c>
      <c r="V50" s="59">
        <v>0</v>
      </c>
      <c r="W50" s="59">
        <f>SUMIFS(ConsevationBuildoutTracker!$V$16:$V$299,ConsevationBuildoutTracker!$E$16:$E$299,"CE",ConsevationBuildoutTracker!$G$16:$G$299,"R",ConsevationBuildoutTracker!$I$16:$I$299,W$2)</f>
        <v>0</v>
      </c>
      <c r="X50" s="59">
        <f>SUMIFS(ConsevationBuildoutTracker!$V$16:$V$299,ConsevationBuildoutTracker!$E$16:$E$299,"CE",ConsevationBuildoutTracker!$G$16:$G$299,"R",ConsevationBuildoutTracker!$I$16:$I$299,X$2)</f>
        <v>-594.59400000000005</v>
      </c>
      <c r="Y50" s="59">
        <f>SUMIFS(ConsevationBuildoutTracker!$V$16:$V$299,ConsevationBuildoutTracker!$E$16:$E$299,"CE",ConsevationBuildoutTracker!$G$16:$G$299,"R",ConsevationBuildoutTracker!$I$16:$I$299,Y$2)</f>
        <v>-2378.3760000000002</v>
      </c>
      <c r="Z50" s="59">
        <f>SUMIFS(ConsevationBuildoutTracker!$V$16:$V$299,ConsevationBuildoutTracker!$E$16:$E$299,"CE",ConsevationBuildoutTracker!$G$16:$G$299,"R",ConsevationBuildoutTracker!$I$16:$I$299,Z$2)</f>
        <v>0</v>
      </c>
      <c r="AA50" s="59">
        <f>SUMIFS(ConsevationBuildoutTracker!$V$16:$V$299,ConsevationBuildoutTracker!$E$16:$E$299,"CE",ConsevationBuildoutTracker!$G$16:$G$299,"R",ConsevationBuildoutTracker!$I$16:$I$299,AA$2)</f>
        <v>0</v>
      </c>
      <c r="AB50" s="59">
        <f>SUMIFS(ConsevationBuildoutTracker!$V$16:$V$299,ConsevationBuildoutTracker!$E$16:$E$299,"CE",ConsevationBuildoutTracker!$G$16:$G$299,"R",ConsevationBuildoutTracker!$I$16:$I$299,AB$2)</f>
        <v>0</v>
      </c>
      <c r="AC50" s="59">
        <f>SUMIFS(ConsevationBuildoutTracker!$V$16:$V$299,ConsevationBuildoutTracker!$E$16:$E$299,"CE",ConsevationBuildoutTracker!$G$16:$G$299,"R",ConsevationBuildoutTracker!$I$16:$I$299,AC$2)</f>
        <v>0</v>
      </c>
      <c r="AD50" s="59">
        <f>SUMIFS(ConsevationBuildoutTracker!$V$16:$V$299,ConsevationBuildoutTracker!$E$16:$E$299,"CE",ConsevationBuildoutTracker!$G$16:$G$299,"R",ConsevationBuildoutTracker!$I$16:$I$299,AD$2)</f>
        <v>0</v>
      </c>
      <c r="AE50" s="59">
        <f>SUMIFS(ConsevationBuildoutTracker!$V$16:$V$299,ConsevationBuildoutTracker!$E$16:$E$299,"CE",ConsevationBuildoutTracker!$G$16:$G$299,"R",ConsevationBuildoutTracker!$I$16:$I$299,AE$2)</f>
        <v>0</v>
      </c>
      <c r="AF50" s="59">
        <f>SUMIFS(ConsevationBuildoutTracker!$V$16:$V$299,ConsevationBuildoutTracker!$E$16:$E$299,"CE",ConsevationBuildoutTracker!$G$16:$G$299,"R",ConsevationBuildoutTracker!$I$16:$I$299,AF$2)</f>
        <v>0</v>
      </c>
      <c r="AG50" s="59">
        <f>SUMIFS(ConsevationBuildoutTracker!$V$16:$V$299,ConsevationBuildoutTracker!$E$16:$E$299,"CE",ConsevationBuildoutTracker!$G$16:$G$299,"R",ConsevationBuildoutTracker!$I$16:$I$299,AG$2)</f>
        <v>0</v>
      </c>
      <c r="AH50" s="59">
        <f>SUMIFS(ConsevationBuildoutTracker!$V$16:$V$299,ConsevationBuildoutTracker!$E$16:$E$299,"CE",ConsevationBuildoutTracker!$G$16:$G$299,"R",ConsevationBuildoutTracker!$I$16:$I$299,AH$2)</f>
        <v>0</v>
      </c>
      <c r="AI50" s="59">
        <f>SUMIFS(ConsevationBuildoutTracker!$V$16:$V$299,ConsevationBuildoutTracker!$E$16:$E$299,"CE",ConsevationBuildoutTracker!$G$16:$G$299,"R",ConsevationBuildoutTracker!$I$16:$I$299,AI$2)</f>
        <v>0</v>
      </c>
      <c r="AJ50" s="59">
        <f>SUMIFS(ConsevationBuildoutTracker!$V$16:$V$299,ConsevationBuildoutTracker!$E$16:$E$299,"CE",ConsevationBuildoutTracker!$G$16:$G$299,"R",ConsevationBuildoutTracker!$I$16:$I$299,AJ$2)</f>
        <v>0</v>
      </c>
      <c r="AK50" s="59">
        <f>SUMIFS(ConsevationBuildoutTracker!$V$16:$V$299,ConsevationBuildoutTracker!$E$16:$E$299,"CE",ConsevationBuildoutTracker!$G$16:$G$299,"R",ConsevationBuildoutTracker!$I$16:$I$299,AK$2)</f>
        <v>0</v>
      </c>
    </row>
    <row r="51" spans="1:37" s="16" customFormat="1" x14ac:dyDescent="0.25">
      <c r="B51" s="17"/>
      <c r="D51" s="16" t="s">
        <v>28</v>
      </c>
      <c r="H51" s="16" t="s">
        <v>1017</v>
      </c>
      <c r="I51" s="61"/>
      <c r="J51" s="61"/>
      <c r="K51" s="61"/>
      <c r="L51" s="61"/>
      <c r="M51" s="61"/>
      <c r="N51" s="61"/>
      <c r="O51" s="61"/>
      <c r="P51" s="61"/>
      <c r="Q51" s="61"/>
      <c r="R51" s="61"/>
      <c r="S51" s="61">
        <f t="shared" ref="S51:AK51" si="13">SUM(S52:S53)</f>
        <v>0</v>
      </c>
      <c r="T51" s="61">
        <f t="shared" si="13"/>
        <v>0</v>
      </c>
      <c r="U51" s="61">
        <f t="shared" si="13"/>
        <v>0</v>
      </c>
      <c r="V51" s="61">
        <f t="shared" si="13"/>
        <v>0</v>
      </c>
      <c r="W51" s="61">
        <f t="shared" si="13"/>
        <v>-10045.894319999999</v>
      </c>
      <c r="X51" s="61">
        <f t="shared" si="13"/>
        <v>0</v>
      </c>
      <c r="Y51" s="61">
        <f t="shared" si="13"/>
        <v>0</v>
      </c>
      <c r="Z51" s="61">
        <f t="shared" si="13"/>
        <v>0</v>
      </c>
      <c r="AA51" s="61">
        <f t="shared" si="13"/>
        <v>0</v>
      </c>
      <c r="AB51" s="61">
        <f t="shared" si="13"/>
        <v>0</v>
      </c>
      <c r="AC51" s="61">
        <f t="shared" si="13"/>
        <v>0</v>
      </c>
      <c r="AD51" s="61">
        <f t="shared" si="13"/>
        <v>0</v>
      </c>
      <c r="AE51" s="61">
        <f t="shared" si="13"/>
        <v>0</v>
      </c>
      <c r="AF51" s="61">
        <f t="shared" si="13"/>
        <v>0</v>
      </c>
      <c r="AG51" s="61">
        <f t="shared" si="13"/>
        <v>0</v>
      </c>
      <c r="AH51" s="61">
        <f t="shared" si="13"/>
        <v>0</v>
      </c>
      <c r="AI51" s="61">
        <f t="shared" si="13"/>
        <v>0</v>
      </c>
      <c r="AJ51" s="61">
        <f t="shared" si="13"/>
        <v>0</v>
      </c>
      <c r="AK51" s="61">
        <f t="shared" si="13"/>
        <v>0</v>
      </c>
    </row>
    <row r="52" spans="1:37" x14ac:dyDescent="0.25">
      <c r="E52" t="s">
        <v>36</v>
      </c>
      <c r="H52" t="s">
        <v>1017</v>
      </c>
      <c r="I52" s="59"/>
      <c r="J52" s="59"/>
      <c r="K52" s="59"/>
      <c r="L52" s="59"/>
      <c r="M52" s="59"/>
      <c r="N52" s="59"/>
      <c r="O52" s="59"/>
      <c r="P52" s="59"/>
      <c r="Q52" s="59"/>
      <c r="R52" s="59"/>
      <c r="S52" s="59">
        <v>0</v>
      </c>
      <c r="T52" s="59">
        <v>0</v>
      </c>
      <c r="U52" s="59">
        <v>0</v>
      </c>
      <c r="V52" s="59">
        <v>0</v>
      </c>
      <c r="W52" s="59">
        <f>SUMIFS(ConsevationBuildoutTracker!$V$16:$V$299,ConsevationBuildoutTracker!$E$16:$E$299,"PPT",ConsevationBuildoutTracker!$G$16:$G$299,"CN",ConsevationBuildoutTracker!$I$16:$I$299,W$2)</f>
        <v>0</v>
      </c>
      <c r="X52" s="59">
        <f>SUMIFS(ConsevationBuildoutTracker!$V$16:$V$299,ConsevationBuildoutTracker!$E$16:$E$299,"PPT",ConsevationBuildoutTracker!$G$16:$G$299,"CN",ConsevationBuildoutTracker!$I$16:$I$299,X$2)</f>
        <v>0</v>
      </c>
      <c r="Y52" s="59">
        <f>SUMIFS(ConsevationBuildoutTracker!$V$16:$V$299,ConsevationBuildoutTracker!$E$16:$E$299,"PPT",ConsevationBuildoutTracker!$G$16:$G$299,"CN",ConsevationBuildoutTracker!$I$16:$I$299,Y$2)</f>
        <v>0</v>
      </c>
      <c r="Z52" s="59">
        <f>SUMIFS(ConsevationBuildoutTracker!$V$16:$V$299,ConsevationBuildoutTracker!$E$16:$E$299,"PPT",ConsevationBuildoutTracker!$G$16:$G$299,"CN",ConsevationBuildoutTracker!$I$16:$I$299,Z$2)</f>
        <v>0</v>
      </c>
      <c r="AA52" s="59">
        <f>SUMIFS(ConsevationBuildoutTracker!$V$16:$V$299,ConsevationBuildoutTracker!$E$16:$E$299,"PPT",ConsevationBuildoutTracker!$G$16:$G$299,"CN",ConsevationBuildoutTracker!$I$16:$I$299,AA$2)</f>
        <v>0</v>
      </c>
      <c r="AB52" s="59">
        <f>SUMIFS(ConsevationBuildoutTracker!$V$16:$V$299,ConsevationBuildoutTracker!$E$16:$E$299,"PPT",ConsevationBuildoutTracker!$G$16:$G$299,"CN",ConsevationBuildoutTracker!$I$16:$I$299,AB$2)</f>
        <v>0</v>
      </c>
      <c r="AC52" s="59">
        <f>SUMIFS(ConsevationBuildoutTracker!$V$16:$V$299,ConsevationBuildoutTracker!$E$16:$E$299,"PPT",ConsevationBuildoutTracker!$G$16:$G$299,"CN",ConsevationBuildoutTracker!$I$16:$I$299,AC$2)</f>
        <v>0</v>
      </c>
      <c r="AD52" s="59">
        <f>SUMIFS(ConsevationBuildoutTracker!$V$16:$V$299,ConsevationBuildoutTracker!$E$16:$E$299,"PPT",ConsevationBuildoutTracker!$G$16:$G$299,"CN",ConsevationBuildoutTracker!$I$16:$I$299,AD$2)</f>
        <v>0</v>
      </c>
      <c r="AE52" s="59">
        <f>SUMIFS(ConsevationBuildoutTracker!$V$16:$V$299,ConsevationBuildoutTracker!$E$16:$E$299,"PPT",ConsevationBuildoutTracker!$G$16:$G$299,"CN",ConsevationBuildoutTracker!$I$16:$I$299,AE$2)</f>
        <v>0</v>
      </c>
      <c r="AF52" s="59">
        <f>SUMIFS(ConsevationBuildoutTracker!$V$16:$V$299,ConsevationBuildoutTracker!$E$16:$E$299,"PPT",ConsevationBuildoutTracker!$G$16:$G$299,"CN",ConsevationBuildoutTracker!$I$16:$I$299,AF$2)</f>
        <v>0</v>
      </c>
      <c r="AG52" s="59">
        <f>SUMIFS(ConsevationBuildoutTracker!$V$16:$V$299,ConsevationBuildoutTracker!$E$16:$E$299,"PPT",ConsevationBuildoutTracker!$G$16:$G$299,"CN",ConsevationBuildoutTracker!$I$16:$I$299,AG$2)</f>
        <v>0</v>
      </c>
      <c r="AH52" s="59">
        <f>SUMIFS(ConsevationBuildoutTracker!$V$16:$V$299,ConsevationBuildoutTracker!$E$16:$E$299,"PPT",ConsevationBuildoutTracker!$G$16:$G$299,"CN",ConsevationBuildoutTracker!$I$16:$I$299,AH$2)</f>
        <v>0</v>
      </c>
      <c r="AI52" s="59">
        <f>SUMIFS(ConsevationBuildoutTracker!$V$16:$V$299,ConsevationBuildoutTracker!$E$16:$E$299,"PPT",ConsevationBuildoutTracker!$G$16:$G$299,"CN",ConsevationBuildoutTracker!$I$16:$I$299,AI$2)</f>
        <v>0</v>
      </c>
      <c r="AJ52" s="59">
        <f>SUMIFS(ConsevationBuildoutTracker!$V$16:$V$299,ConsevationBuildoutTracker!$E$16:$E$299,"PPT",ConsevationBuildoutTracker!$G$16:$G$299,"CN",ConsevationBuildoutTracker!$I$16:$I$299,AJ$2)</f>
        <v>0</v>
      </c>
      <c r="AK52" s="59">
        <f>SUMIFS(ConsevationBuildoutTracker!$V$16:$V$299,ConsevationBuildoutTracker!$E$16:$E$299,"PPT",ConsevationBuildoutTracker!$G$16:$G$299,"CN",ConsevationBuildoutTracker!$I$16:$I$299,AK$2)</f>
        <v>0</v>
      </c>
    </row>
    <row r="53" spans="1:37" x14ac:dyDescent="0.25">
      <c r="E53" t="s">
        <v>37</v>
      </c>
      <c r="H53" t="s">
        <v>1017</v>
      </c>
      <c r="I53" s="59"/>
      <c r="J53" s="59"/>
      <c r="K53" s="59"/>
      <c r="L53" s="59"/>
      <c r="M53" s="59"/>
      <c r="N53" s="59"/>
      <c r="O53" s="59"/>
      <c r="P53" s="59"/>
      <c r="Q53" s="59"/>
      <c r="R53" s="59"/>
      <c r="S53" s="59">
        <v>0</v>
      </c>
      <c r="T53" s="59">
        <v>0</v>
      </c>
      <c r="U53" s="59">
        <v>0</v>
      </c>
      <c r="V53" s="59">
        <v>0</v>
      </c>
      <c r="W53" s="59">
        <f>SUMIFS(ConsevationBuildoutTracker!$V$16:$V$299,ConsevationBuildoutTracker!$E$16:$E$299,"PPT",ConsevationBuildoutTracker!$G$16:$G$299,"R",ConsevationBuildoutTracker!$I$16:$I$299,W$2)</f>
        <v>-10045.894319999999</v>
      </c>
      <c r="X53" s="59">
        <f>SUMIFS(ConsevationBuildoutTracker!$V$16:$V$299,ConsevationBuildoutTracker!$E$16:$E$299,"PPT",ConsevationBuildoutTracker!$G$16:$G$299,"R",ConsevationBuildoutTracker!$I$16:$I$299,X$2)</f>
        <v>0</v>
      </c>
      <c r="Y53" s="59">
        <f>SUMIFS(ConsevationBuildoutTracker!$V$16:$V$299,ConsevationBuildoutTracker!$E$16:$E$299,"PPT",ConsevationBuildoutTracker!$G$16:$G$299,"R",ConsevationBuildoutTracker!$I$16:$I$299,Y$2)</f>
        <v>0</v>
      </c>
      <c r="Z53" s="59">
        <f>SUMIFS(ConsevationBuildoutTracker!$V$16:$V$299,ConsevationBuildoutTracker!$E$16:$E$299,"PPT",ConsevationBuildoutTracker!$G$16:$G$299,"R",ConsevationBuildoutTracker!$I$16:$I$299,Z$2)</f>
        <v>0</v>
      </c>
      <c r="AA53" s="59">
        <f>SUMIFS(ConsevationBuildoutTracker!$V$16:$V$299,ConsevationBuildoutTracker!$E$16:$E$299,"PPT",ConsevationBuildoutTracker!$G$16:$G$299,"R",ConsevationBuildoutTracker!$I$16:$I$299,AA$2)</f>
        <v>0</v>
      </c>
      <c r="AB53" s="59">
        <f>SUMIFS(ConsevationBuildoutTracker!$V$16:$V$299,ConsevationBuildoutTracker!$E$16:$E$299,"PPT",ConsevationBuildoutTracker!$G$16:$G$299,"R",ConsevationBuildoutTracker!$I$16:$I$299,AB$2)</f>
        <v>0</v>
      </c>
      <c r="AC53" s="59">
        <f>SUMIFS(ConsevationBuildoutTracker!$V$16:$V$299,ConsevationBuildoutTracker!$E$16:$E$299,"PPT",ConsevationBuildoutTracker!$G$16:$G$299,"R",ConsevationBuildoutTracker!$I$16:$I$299,AC$2)</f>
        <v>0</v>
      </c>
      <c r="AD53" s="59">
        <f>SUMIFS(ConsevationBuildoutTracker!$V$16:$V$299,ConsevationBuildoutTracker!$E$16:$E$299,"PPT",ConsevationBuildoutTracker!$G$16:$G$299,"R",ConsevationBuildoutTracker!$I$16:$I$299,AD$2)</f>
        <v>0</v>
      </c>
      <c r="AE53" s="59">
        <f>SUMIFS(ConsevationBuildoutTracker!$V$16:$V$299,ConsevationBuildoutTracker!$E$16:$E$299,"PPT",ConsevationBuildoutTracker!$G$16:$G$299,"R",ConsevationBuildoutTracker!$I$16:$I$299,AE$2)</f>
        <v>0</v>
      </c>
      <c r="AF53" s="59">
        <f>SUMIFS(ConsevationBuildoutTracker!$V$16:$V$299,ConsevationBuildoutTracker!$E$16:$E$299,"PPT",ConsevationBuildoutTracker!$G$16:$G$299,"R",ConsevationBuildoutTracker!$I$16:$I$299,AF$2)</f>
        <v>0</v>
      </c>
      <c r="AG53" s="59">
        <f>SUMIFS(ConsevationBuildoutTracker!$V$16:$V$299,ConsevationBuildoutTracker!$E$16:$E$299,"PPT",ConsevationBuildoutTracker!$G$16:$G$299,"R",ConsevationBuildoutTracker!$I$16:$I$299,AG$2)</f>
        <v>0</v>
      </c>
      <c r="AH53" s="59">
        <f>SUMIFS(ConsevationBuildoutTracker!$V$16:$V$299,ConsevationBuildoutTracker!$E$16:$E$299,"PPT",ConsevationBuildoutTracker!$G$16:$G$299,"R",ConsevationBuildoutTracker!$I$16:$I$299,AH$2)</f>
        <v>0</v>
      </c>
      <c r="AI53" s="59">
        <f>SUMIFS(ConsevationBuildoutTracker!$V$16:$V$299,ConsevationBuildoutTracker!$E$16:$E$299,"PPT",ConsevationBuildoutTracker!$G$16:$G$299,"R",ConsevationBuildoutTracker!$I$16:$I$299,AI$2)</f>
        <v>0</v>
      </c>
      <c r="AJ53" s="59">
        <f>SUMIFS(ConsevationBuildoutTracker!$V$16:$V$299,ConsevationBuildoutTracker!$E$16:$E$299,"PPT",ConsevationBuildoutTracker!$G$16:$G$299,"R",ConsevationBuildoutTracker!$I$16:$I$299,AJ$2)</f>
        <v>0</v>
      </c>
      <c r="AK53" s="59">
        <f>SUMIFS(ConsevationBuildoutTracker!$V$16:$V$299,ConsevationBuildoutTracker!$E$16:$E$299,"PPT",ConsevationBuildoutTracker!$G$16:$G$299,"R",ConsevationBuildoutTracker!$I$16:$I$299,AK$2)</f>
        <v>0</v>
      </c>
    </row>
    <row r="54" spans="1:37" s="3" customFormat="1" x14ac:dyDescent="0.25">
      <c r="B54" s="4"/>
    </row>
    <row r="55" spans="1:37" s="37" customFormat="1" ht="17.25" x14ac:dyDescent="0.3">
      <c r="A55" s="37" t="s">
        <v>5</v>
      </c>
    </row>
    <row r="56" spans="1:37" x14ac:dyDescent="0.25">
      <c r="B56" s="64" t="s">
        <v>31</v>
      </c>
      <c r="C56" t="s">
        <v>233</v>
      </c>
    </row>
    <row r="57" spans="1:37" x14ac:dyDescent="0.25">
      <c r="B57" s="64"/>
      <c r="C57" s="63" t="s">
        <v>999</v>
      </c>
    </row>
    <row r="58" spans="1:37" s="223" customFormat="1" x14ac:dyDescent="0.25">
      <c r="B58" s="64" t="s">
        <v>32</v>
      </c>
      <c r="C58" s="195" t="s">
        <v>408</v>
      </c>
    </row>
    <row r="59" spans="1:37" x14ac:dyDescent="0.25">
      <c r="C59" s="195" t="s">
        <v>409</v>
      </c>
    </row>
    <row r="60" spans="1:37" x14ac:dyDescent="0.25">
      <c r="B60" s="64"/>
      <c r="C60" s="195" t="s">
        <v>326</v>
      </c>
    </row>
    <row r="61" spans="1:37" s="223" customFormat="1" x14ac:dyDescent="0.25">
      <c r="B61" s="64"/>
      <c r="C61" s="268" t="s">
        <v>1439</v>
      </c>
    </row>
    <row r="62" spans="1:37" s="223" customFormat="1" x14ac:dyDescent="0.25">
      <c r="B62" s="64"/>
      <c r="C62" s="268" t="s">
        <v>1000</v>
      </c>
    </row>
    <row r="63" spans="1:37" x14ac:dyDescent="0.25">
      <c r="B63" s="64" t="s">
        <v>331</v>
      </c>
      <c r="C63" t="s">
        <v>1001</v>
      </c>
    </row>
    <row r="64" spans="1:37" x14ac:dyDescent="0.25">
      <c r="B64" s="64"/>
      <c r="C64" t="s">
        <v>1002</v>
      </c>
    </row>
    <row r="65" spans="2:37" x14ac:dyDescent="0.25">
      <c r="B65" s="64" t="s">
        <v>332</v>
      </c>
      <c r="C65" t="s">
        <v>1556</v>
      </c>
    </row>
    <row r="66" spans="2:37" x14ac:dyDescent="0.25">
      <c r="B66" s="64" t="s">
        <v>334</v>
      </c>
      <c r="C66" t="s">
        <v>1557</v>
      </c>
    </row>
    <row r="67" spans="2:37" x14ac:dyDescent="0.25">
      <c r="B67" s="64"/>
      <c r="C67" t="s">
        <v>1558</v>
      </c>
    </row>
    <row r="68" spans="2:37" x14ac:dyDescent="0.25">
      <c r="B68" s="64"/>
      <c r="C68" t="s">
        <v>1081</v>
      </c>
    </row>
    <row r="69" spans="2:37" s="34" customFormat="1" ht="15.75" thickBot="1" x14ac:dyDescent="0.3">
      <c r="B69" s="65"/>
      <c r="C69" s="34" t="s">
        <v>1559</v>
      </c>
    </row>
    <row r="70" spans="2:37" s="13" customFormat="1" ht="15.75" thickTop="1" x14ac:dyDescent="0.25">
      <c r="B70" s="66" t="s">
        <v>34</v>
      </c>
      <c r="D70" s="15" t="s">
        <v>1075</v>
      </c>
      <c r="I70" s="62"/>
      <c r="J70" s="62"/>
      <c r="K70" s="62"/>
      <c r="L70" s="62"/>
      <c r="M70" s="62"/>
      <c r="N70" s="62"/>
      <c r="O70" s="62"/>
      <c r="P70" s="62"/>
      <c r="Q70" s="62"/>
      <c r="R70" s="62"/>
      <c r="S70" s="62"/>
      <c r="T70" s="62"/>
      <c r="U70" s="62"/>
      <c r="V70" s="62"/>
      <c r="W70" s="62"/>
      <c r="X70" s="62"/>
      <c r="Y70" s="62"/>
      <c r="Z70" s="62"/>
      <c r="AA70" s="300"/>
    </row>
    <row r="71" spans="2:37" s="16" customFormat="1" x14ac:dyDescent="0.25">
      <c r="B71" s="17"/>
      <c r="E71" s="16" t="s">
        <v>35</v>
      </c>
      <c r="H71" s="16" t="s">
        <v>1015</v>
      </c>
      <c r="I71" s="61">
        <f t="shared" ref="I71:AK71" si="14">SUM(I72:I75,I77)</f>
        <v>62</v>
      </c>
      <c r="J71" s="61">
        <f t="shared" si="14"/>
        <v>187</v>
      </c>
      <c r="K71" s="61">
        <f t="shared" si="14"/>
        <v>321</v>
      </c>
      <c r="L71" s="61">
        <f t="shared" si="14"/>
        <v>156</v>
      </c>
      <c r="M71" s="61">
        <f t="shared" si="14"/>
        <v>257</v>
      </c>
      <c r="N71" s="61">
        <f t="shared" si="14"/>
        <v>166</v>
      </c>
      <c r="O71" s="61">
        <f t="shared" si="14"/>
        <v>165</v>
      </c>
      <c r="P71" s="61">
        <f t="shared" si="14"/>
        <v>181</v>
      </c>
      <c r="Q71" s="61">
        <f t="shared" si="14"/>
        <v>170</v>
      </c>
      <c r="R71" s="61">
        <f t="shared" si="14"/>
        <v>68</v>
      </c>
      <c r="S71" s="61">
        <f t="shared" si="14"/>
        <v>67</v>
      </c>
      <c r="T71" s="61">
        <f t="shared" si="14"/>
        <v>63</v>
      </c>
      <c r="U71" s="61">
        <f t="shared" si="14"/>
        <v>106</v>
      </c>
      <c r="V71" s="61">
        <f t="shared" si="14"/>
        <v>127</v>
      </c>
      <c r="W71" s="61">
        <f t="shared" si="14"/>
        <v>133</v>
      </c>
      <c r="X71" s="61">
        <f t="shared" si="14"/>
        <v>126</v>
      </c>
      <c r="Y71" s="61">
        <f t="shared" si="14"/>
        <v>179</v>
      </c>
      <c r="Z71" s="61">
        <f t="shared" si="14"/>
        <v>218</v>
      </c>
      <c r="AA71" s="61">
        <f t="shared" si="14"/>
        <v>222</v>
      </c>
      <c r="AB71" s="61">
        <f t="shared" si="14"/>
        <v>0</v>
      </c>
      <c r="AC71" s="61">
        <f t="shared" si="14"/>
        <v>0</v>
      </c>
      <c r="AD71" s="61">
        <f t="shared" si="14"/>
        <v>0</v>
      </c>
      <c r="AE71" s="61">
        <f t="shared" si="14"/>
        <v>0</v>
      </c>
      <c r="AF71" s="61">
        <f t="shared" si="14"/>
        <v>0</v>
      </c>
      <c r="AG71" s="61">
        <f t="shared" si="14"/>
        <v>0</v>
      </c>
      <c r="AH71" s="61">
        <f t="shared" si="14"/>
        <v>0</v>
      </c>
      <c r="AI71" s="61">
        <f t="shared" si="14"/>
        <v>0</v>
      </c>
      <c r="AJ71" s="61">
        <f t="shared" si="14"/>
        <v>0</v>
      </c>
      <c r="AK71" s="61">
        <f t="shared" si="14"/>
        <v>0</v>
      </c>
    </row>
    <row r="72" spans="2:37" x14ac:dyDescent="0.25">
      <c r="G72" t="s">
        <v>235</v>
      </c>
      <c r="H72" s="9" t="s">
        <v>1015</v>
      </c>
      <c r="I72" s="59">
        <v>0</v>
      </c>
      <c r="J72" s="59">
        <v>0</v>
      </c>
      <c r="K72" s="59">
        <v>0</v>
      </c>
      <c r="L72" s="59">
        <v>0</v>
      </c>
      <c r="M72" s="59">
        <v>1</v>
      </c>
      <c r="N72" s="59">
        <v>1</v>
      </c>
      <c r="O72" s="59">
        <v>0</v>
      </c>
      <c r="P72" s="59">
        <v>1</v>
      </c>
      <c r="Q72" s="59">
        <v>0</v>
      </c>
      <c r="R72" s="59">
        <v>0</v>
      </c>
      <c r="S72" s="59">
        <v>0</v>
      </c>
      <c r="T72" s="59">
        <v>0</v>
      </c>
      <c r="U72" s="59">
        <v>2</v>
      </c>
      <c r="V72" s="59">
        <v>0</v>
      </c>
      <c r="W72" s="59">
        <v>0</v>
      </c>
      <c r="X72" s="59">
        <v>0</v>
      </c>
      <c r="Y72" s="59">
        <v>0</v>
      </c>
      <c r="Z72" s="59">
        <v>0</v>
      </c>
      <c r="AA72" s="59">
        <v>4</v>
      </c>
    </row>
    <row r="73" spans="2:37" x14ac:dyDescent="0.25">
      <c r="G73" t="s">
        <v>236</v>
      </c>
      <c r="H73" s="9" t="s">
        <v>1015</v>
      </c>
      <c r="I73" s="59">
        <v>43</v>
      </c>
      <c r="J73" s="59">
        <v>111</v>
      </c>
      <c r="K73" s="59">
        <v>83</v>
      </c>
      <c r="L73" s="59">
        <v>91</v>
      </c>
      <c r="M73" s="59">
        <v>130</v>
      </c>
      <c r="N73" s="59">
        <v>102</v>
      </c>
      <c r="O73" s="59">
        <v>131</v>
      </c>
      <c r="P73" s="59">
        <v>90</v>
      </c>
      <c r="Q73" s="59">
        <v>96</v>
      </c>
      <c r="R73" s="59">
        <v>45</v>
      </c>
      <c r="S73" s="59">
        <v>49</v>
      </c>
      <c r="T73" s="59">
        <v>48</v>
      </c>
      <c r="U73" s="59">
        <v>54</v>
      </c>
      <c r="V73" s="59">
        <v>94</v>
      </c>
      <c r="W73" s="59">
        <v>84</v>
      </c>
      <c r="X73" s="59">
        <v>97</v>
      </c>
      <c r="Y73" s="59">
        <v>103</v>
      </c>
      <c r="Z73" s="59">
        <v>103</v>
      </c>
      <c r="AA73" s="59">
        <v>84</v>
      </c>
      <c r="AB73" s="122"/>
    </row>
    <row r="74" spans="2:37" x14ac:dyDescent="0.25">
      <c r="G74" t="s">
        <v>237</v>
      </c>
      <c r="H74" s="9" t="s">
        <v>1015</v>
      </c>
      <c r="I74" s="59">
        <v>13</v>
      </c>
      <c r="J74" s="59">
        <v>14</v>
      </c>
      <c r="K74" s="59">
        <v>91</v>
      </c>
      <c r="L74" s="59">
        <v>3</v>
      </c>
      <c r="M74" s="59">
        <v>62</v>
      </c>
      <c r="N74" s="59">
        <v>11</v>
      </c>
      <c r="O74" s="59">
        <v>18</v>
      </c>
      <c r="P74" s="59">
        <v>58</v>
      </c>
      <c r="Q74" s="59">
        <v>58</v>
      </c>
      <c r="R74" s="59">
        <v>21</v>
      </c>
      <c r="S74" s="59">
        <v>14</v>
      </c>
      <c r="T74" s="59">
        <v>12</v>
      </c>
      <c r="U74" s="59">
        <v>14</v>
      </c>
      <c r="V74" s="59">
        <v>9</v>
      </c>
      <c r="W74" s="59">
        <v>34</v>
      </c>
      <c r="X74" s="59">
        <v>1</v>
      </c>
      <c r="Y74" s="59">
        <v>31</v>
      </c>
      <c r="Z74" s="59">
        <v>37</v>
      </c>
      <c r="AA74" s="59">
        <v>67</v>
      </c>
    </row>
    <row r="75" spans="2:37" x14ac:dyDescent="0.25">
      <c r="G75" t="s">
        <v>238</v>
      </c>
      <c r="H75" s="9" t="s">
        <v>1015</v>
      </c>
      <c r="I75" s="59">
        <v>6</v>
      </c>
      <c r="J75" s="59">
        <v>62</v>
      </c>
      <c r="K75" s="59">
        <v>147</v>
      </c>
      <c r="L75" s="59">
        <v>62</v>
      </c>
      <c r="M75" s="59">
        <v>64</v>
      </c>
      <c r="N75" s="59">
        <v>52</v>
      </c>
      <c r="O75" s="59">
        <v>16</v>
      </c>
      <c r="P75" s="59">
        <v>32</v>
      </c>
      <c r="Q75" s="59">
        <v>16</v>
      </c>
      <c r="R75" s="59">
        <v>2</v>
      </c>
      <c r="S75" s="59">
        <v>4</v>
      </c>
      <c r="T75" s="59">
        <v>3</v>
      </c>
      <c r="U75" s="59">
        <v>36</v>
      </c>
      <c r="V75" s="59">
        <v>24</v>
      </c>
      <c r="W75" s="59">
        <v>15</v>
      </c>
      <c r="X75" s="59">
        <v>28</v>
      </c>
      <c r="Y75" s="59">
        <v>45</v>
      </c>
      <c r="Z75" s="59">
        <v>78</v>
      </c>
      <c r="AA75" s="59">
        <v>67</v>
      </c>
    </row>
    <row r="76" spans="2:37" x14ac:dyDescent="0.25">
      <c r="G76" t="s">
        <v>239</v>
      </c>
      <c r="H76" s="9" t="s">
        <v>1018</v>
      </c>
      <c r="I76" s="59">
        <v>2</v>
      </c>
      <c r="J76" s="59">
        <v>20</v>
      </c>
      <c r="K76" s="59">
        <v>23</v>
      </c>
      <c r="L76" s="59">
        <v>20</v>
      </c>
      <c r="M76" s="59">
        <v>17</v>
      </c>
      <c r="N76" s="59">
        <v>22</v>
      </c>
      <c r="O76" s="59">
        <v>14</v>
      </c>
      <c r="P76" s="59">
        <v>27</v>
      </c>
      <c r="Q76" s="59">
        <v>21</v>
      </c>
      <c r="R76" s="59">
        <v>20</v>
      </c>
      <c r="S76" s="59">
        <v>12</v>
      </c>
      <c r="T76" s="59">
        <v>15</v>
      </c>
      <c r="U76" s="59">
        <v>11</v>
      </c>
      <c r="V76" s="59">
        <v>21</v>
      </c>
      <c r="W76" s="59">
        <v>21</v>
      </c>
      <c r="X76" s="59">
        <v>27</v>
      </c>
      <c r="Y76" s="59">
        <v>24</v>
      </c>
      <c r="Z76" s="59">
        <v>38</v>
      </c>
      <c r="AA76" s="59">
        <v>31</v>
      </c>
    </row>
    <row r="77" spans="2:37" x14ac:dyDescent="0.25">
      <c r="G77" t="s">
        <v>240</v>
      </c>
      <c r="H77" s="9" t="s">
        <v>1015</v>
      </c>
      <c r="I77" s="59">
        <v>0</v>
      </c>
      <c r="J77" s="59">
        <v>0</v>
      </c>
      <c r="K77" s="59">
        <v>0</v>
      </c>
      <c r="L77" s="59">
        <v>0</v>
      </c>
      <c r="M77" s="59">
        <v>0</v>
      </c>
      <c r="N77" s="59">
        <v>0</v>
      </c>
      <c r="O77" s="59">
        <v>0</v>
      </c>
      <c r="P77" s="59">
        <v>0</v>
      </c>
      <c r="Q77" s="59">
        <v>0</v>
      </c>
      <c r="R77" s="59">
        <v>0</v>
      </c>
      <c r="S77" s="59">
        <v>0</v>
      </c>
      <c r="T77" s="59">
        <v>0</v>
      </c>
      <c r="U77" s="59">
        <v>0</v>
      </c>
      <c r="V77" s="59">
        <v>0</v>
      </c>
      <c r="W77" s="59">
        <v>0</v>
      </c>
      <c r="X77" s="59">
        <v>0</v>
      </c>
      <c r="Y77" s="59">
        <v>0</v>
      </c>
      <c r="Z77" s="59">
        <v>0</v>
      </c>
      <c r="AA77" s="59">
        <v>0</v>
      </c>
    </row>
    <row r="78" spans="2:37" s="16" customFormat="1" x14ac:dyDescent="0.25">
      <c r="B78" s="17"/>
      <c r="E78" s="16" t="s">
        <v>241</v>
      </c>
      <c r="H78" s="16" t="s">
        <v>1017</v>
      </c>
      <c r="I78" s="61">
        <f t="shared" ref="I78:AK78" si="15">SUM(I79:I81,I83)</f>
        <v>236965</v>
      </c>
      <c r="J78" s="61">
        <f t="shared" si="15"/>
        <v>475245</v>
      </c>
      <c r="K78" s="61">
        <f t="shared" si="15"/>
        <v>656258</v>
      </c>
      <c r="L78" s="61">
        <f t="shared" si="15"/>
        <v>578180</v>
      </c>
      <c r="M78" s="61">
        <f t="shared" si="15"/>
        <v>866461</v>
      </c>
      <c r="N78" s="61">
        <f t="shared" si="15"/>
        <v>647910</v>
      </c>
      <c r="O78" s="61">
        <f t="shared" si="15"/>
        <v>754882</v>
      </c>
      <c r="P78" s="61">
        <f t="shared" si="15"/>
        <v>665632</v>
      </c>
      <c r="Q78" s="61">
        <f t="shared" si="15"/>
        <v>574014</v>
      </c>
      <c r="R78" s="61">
        <f t="shared" si="15"/>
        <v>240092</v>
      </c>
      <c r="S78" s="61">
        <f t="shared" si="15"/>
        <v>327163</v>
      </c>
      <c r="T78" s="61">
        <f t="shared" si="15"/>
        <v>306951</v>
      </c>
      <c r="U78" s="61">
        <f t="shared" si="15"/>
        <v>417644</v>
      </c>
      <c r="V78" s="61">
        <f t="shared" si="15"/>
        <v>509709</v>
      </c>
      <c r="W78" s="61">
        <f t="shared" si="15"/>
        <v>659202</v>
      </c>
      <c r="X78" s="61">
        <f t="shared" si="15"/>
        <v>619758</v>
      </c>
      <c r="Y78" s="61">
        <f t="shared" si="15"/>
        <v>618383</v>
      </c>
      <c r="Z78" s="61">
        <f t="shared" si="15"/>
        <v>801067</v>
      </c>
      <c r="AA78" s="61">
        <f t="shared" si="15"/>
        <v>653464</v>
      </c>
      <c r="AB78" s="61">
        <f t="shared" si="15"/>
        <v>0</v>
      </c>
      <c r="AC78" s="61">
        <f t="shared" si="15"/>
        <v>0</v>
      </c>
      <c r="AD78" s="61">
        <f t="shared" si="15"/>
        <v>0</v>
      </c>
      <c r="AE78" s="61">
        <f t="shared" si="15"/>
        <v>0</v>
      </c>
      <c r="AF78" s="61">
        <f t="shared" si="15"/>
        <v>0</v>
      </c>
      <c r="AG78" s="61">
        <f t="shared" si="15"/>
        <v>0</v>
      </c>
      <c r="AH78" s="61">
        <f t="shared" si="15"/>
        <v>0</v>
      </c>
      <c r="AI78" s="61">
        <f t="shared" si="15"/>
        <v>0</v>
      </c>
      <c r="AJ78" s="61">
        <f t="shared" si="15"/>
        <v>0</v>
      </c>
      <c r="AK78" s="61">
        <f t="shared" si="15"/>
        <v>0</v>
      </c>
    </row>
    <row r="79" spans="2:37" x14ac:dyDescent="0.25">
      <c r="G79" t="s">
        <v>236</v>
      </c>
      <c r="H79" t="s">
        <v>1017</v>
      </c>
      <c r="I79" s="59">
        <v>207245</v>
      </c>
      <c r="J79" s="59">
        <v>396196</v>
      </c>
      <c r="K79" s="59">
        <v>367311</v>
      </c>
      <c r="L79" s="59">
        <v>517030</v>
      </c>
      <c r="M79" s="59">
        <v>689260</v>
      </c>
      <c r="N79" s="59">
        <v>550811</v>
      </c>
      <c r="O79" s="59">
        <v>691693</v>
      </c>
      <c r="P79" s="59">
        <v>561202</v>
      </c>
      <c r="Q79" s="59">
        <v>490910</v>
      </c>
      <c r="R79" s="59">
        <v>203405</v>
      </c>
      <c r="S79" s="59">
        <v>304028</v>
      </c>
      <c r="T79" s="59">
        <v>284907</v>
      </c>
      <c r="U79" s="59">
        <v>361284</v>
      </c>
      <c r="V79" s="59">
        <v>466842</v>
      </c>
      <c r="W79" s="59">
        <v>583842</v>
      </c>
      <c r="X79" s="59">
        <v>590799</v>
      </c>
      <c r="Y79" s="59">
        <v>537649</v>
      </c>
      <c r="Z79" s="59">
        <v>608466</v>
      </c>
      <c r="AA79">
        <v>530042</v>
      </c>
    </row>
    <row r="80" spans="2:37" x14ac:dyDescent="0.25">
      <c r="G80" t="s">
        <v>237</v>
      </c>
      <c r="H80" t="s">
        <v>1017</v>
      </c>
      <c r="I80" s="59">
        <v>21295</v>
      </c>
      <c r="J80" s="59">
        <v>19392</v>
      </c>
      <c r="K80" s="59">
        <v>159089</v>
      </c>
      <c r="L80" s="59">
        <v>14370</v>
      </c>
      <c r="M80" s="59">
        <v>101119</v>
      </c>
      <c r="N80" s="59">
        <v>43420</v>
      </c>
      <c r="O80" s="59">
        <v>46353</v>
      </c>
      <c r="P80" s="59">
        <v>88733</v>
      </c>
      <c r="Q80" s="59">
        <v>70189</v>
      </c>
      <c r="R80" s="59">
        <v>34385</v>
      </c>
      <c r="S80" s="59">
        <v>14520</v>
      </c>
      <c r="T80" s="59">
        <v>20580</v>
      </c>
      <c r="U80" s="59">
        <v>20378</v>
      </c>
      <c r="V80" s="59">
        <v>18079</v>
      </c>
      <c r="W80" s="59">
        <v>58677</v>
      </c>
      <c r="X80" s="59">
        <v>1018</v>
      </c>
      <c r="Y80" s="59">
        <v>47121</v>
      </c>
      <c r="Z80" s="59">
        <v>88485</v>
      </c>
      <c r="AA80">
        <v>60890</v>
      </c>
    </row>
    <row r="81" spans="2:37" x14ac:dyDescent="0.25">
      <c r="G81" t="s">
        <v>238</v>
      </c>
      <c r="H81" t="s">
        <v>1017</v>
      </c>
      <c r="I81" s="59">
        <v>8425</v>
      </c>
      <c r="J81" s="59">
        <v>59657</v>
      </c>
      <c r="K81" s="59">
        <v>129858</v>
      </c>
      <c r="L81" s="59">
        <v>46780</v>
      </c>
      <c r="M81" s="59">
        <v>75986</v>
      </c>
      <c r="N81" s="59">
        <v>53679</v>
      </c>
      <c r="O81" s="59">
        <v>16836</v>
      </c>
      <c r="P81" s="59">
        <v>15697</v>
      </c>
      <c r="Q81" s="59">
        <v>12915</v>
      </c>
      <c r="R81" s="59">
        <v>2302</v>
      </c>
      <c r="S81" s="59">
        <v>8615</v>
      </c>
      <c r="T81" s="59">
        <v>1464</v>
      </c>
      <c r="U81" s="59">
        <v>35902</v>
      </c>
      <c r="V81" s="59">
        <v>24788</v>
      </c>
      <c r="W81" s="59">
        <v>16683</v>
      </c>
      <c r="X81" s="59">
        <v>27941</v>
      </c>
      <c r="Y81" s="59">
        <v>33613</v>
      </c>
      <c r="Z81" s="59">
        <v>104116</v>
      </c>
      <c r="AA81">
        <v>62532</v>
      </c>
    </row>
    <row r="82" spans="2:37" x14ac:dyDescent="0.25">
      <c r="G82" t="s">
        <v>239</v>
      </c>
      <c r="H82" t="s">
        <v>1017</v>
      </c>
      <c r="I82" s="59">
        <v>1662</v>
      </c>
      <c r="J82" s="59">
        <v>16789</v>
      </c>
      <c r="K82" s="59">
        <v>19321</v>
      </c>
      <c r="L82" s="59">
        <v>16623</v>
      </c>
      <c r="M82" s="59">
        <v>13973</v>
      </c>
      <c r="N82" s="59">
        <v>19572</v>
      </c>
      <c r="O82" s="59">
        <v>11952</v>
      </c>
      <c r="P82" s="59">
        <v>21478</v>
      </c>
      <c r="Q82" s="59">
        <v>18073</v>
      </c>
      <c r="R82" s="59">
        <v>15330</v>
      </c>
      <c r="S82" s="59">
        <v>8735</v>
      </c>
      <c r="T82" s="59">
        <v>14536</v>
      </c>
      <c r="U82" s="59">
        <v>8008</v>
      </c>
      <c r="V82" s="59">
        <v>18781</v>
      </c>
      <c r="W82" s="59">
        <v>20346</v>
      </c>
      <c r="X82" s="59">
        <v>28445</v>
      </c>
      <c r="Y82" s="59">
        <v>20513</v>
      </c>
      <c r="Z82" s="59">
        <v>32877</v>
      </c>
      <c r="AA82">
        <v>29638</v>
      </c>
    </row>
    <row r="83" spans="2:37" x14ac:dyDescent="0.25">
      <c r="G83" t="s">
        <v>240</v>
      </c>
      <c r="H83" t="s">
        <v>1017</v>
      </c>
      <c r="I83" s="59">
        <v>0</v>
      </c>
      <c r="J83" s="59">
        <v>0</v>
      </c>
      <c r="K83" s="59">
        <v>0</v>
      </c>
      <c r="L83" s="59">
        <v>0</v>
      </c>
      <c r="M83" s="59">
        <v>96</v>
      </c>
      <c r="N83" s="59">
        <v>0</v>
      </c>
      <c r="O83" s="59">
        <v>0</v>
      </c>
      <c r="P83" s="59">
        <v>0</v>
      </c>
      <c r="Q83" s="59">
        <v>0</v>
      </c>
      <c r="R83" s="59">
        <v>0</v>
      </c>
      <c r="S83" s="59">
        <v>0</v>
      </c>
      <c r="T83" s="59">
        <v>0</v>
      </c>
      <c r="U83" s="59">
        <v>80</v>
      </c>
      <c r="V83" s="59">
        <v>0</v>
      </c>
      <c r="W83" s="59">
        <v>0</v>
      </c>
      <c r="X83" s="59">
        <v>0</v>
      </c>
      <c r="Y83" s="59">
        <v>0</v>
      </c>
      <c r="Z83" s="59">
        <v>0</v>
      </c>
      <c r="AA83" s="59">
        <v>0</v>
      </c>
    </row>
    <row r="84" spans="2:37" s="13" customFormat="1" x14ac:dyDescent="0.25">
      <c r="B84" s="14"/>
      <c r="D84" s="13" t="s">
        <v>1076</v>
      </c>
      <c r="I84" s="62"/>
      <c r="J84" s="62"/>
      <c r="K84" s="62"/>
      <c r="L84" s="62"/>
      <c r="M84" s="62"/>
      <c r="N84" s="62"/>
      <c r="O84" s="62"/>
      <c r="P84" s="62"/>
      <c r="Q84" s="62"/>
      <c r="R84" s="62"/>
      <c r="S84" s="62"/>
      <c r="T84" s="62"/>
      <c r="U84" s="62"/>
      <c r="V84" s="62"/>
      <c r="W84" s="62"/>
      <c r="X84" s="62"/>
      <c r="Y84" s="62"/>
      <c r="Z84" s="62"/>
    </row>
    <row r="85" spans="2:37" x14ac:dyDescent="0.25">
      <c r="E85" s="16" t="s">
        <v>38</v>
      </c>
      <c r="F85" s="16"/>
      <c r="G85" s="16"/>
      <c r="H85" s="16" t="s">
        <v>1016</v>
      </c>
      <c r="I85" s="61">
        <f t="shared" ref="I85:AK85" si="16">SUM(I86:I87)</f>
        <v>0</v>
      </c>
      <c r="J85" s="61">
        <f t="shared" si="16"/>
        <v>39</v>
      </c>
      <c r="K85" s="61">
        <f t="shared" si="16"/>
        <v>49</v>
      </c>
      <c r="L85" s="61">
        <f t="shared" si="16"/>
        <v>86</v>
      </c>
      <c r="M85" s="61">
        <f t="shared" si="16"/>
        <v>88</v>
      </c>
      <c r="N85" s="61">
        <f t="shared" si="16"/>
        <v>54</v>
      </c>
      <c r="O85" s="61">
        <f t="shared" si="16"/>
        <v>26</v>
      </c>
      <c r="P85" s="61">
        <f t="shared" si="16"/>
        <v>27</v>
      </c>
      <c r="Q85" s="61">
        <f t="shared" si="16"/>
        <v>35</v>
      </c>
      <c r="R85" s="61">
        <f t="shared" si="16"/>
        <v>1</v>
      </c>
      <c r="S85" s="61">
        <f t="shared" si="16"/>
        <v>26</v>
      </c>
      <c r="T85" s="61">
        <f t="shared" si="16"/>
        <v>0</v>
      </c>
      <c r="U85" s="61">
        <f t="shared" si="16"/>
        <v>57</v>
      </c>
      <c r="V85" s="61">
        <f t="shared" si="16"/>
        <v>0</v>
      </c>
      <c r="W85" s="61">
        <f t="shared" si="16"/>
        <v>0</v>
      </c>
      <c r="X85" s="61">
        <f t="shared" si="16"/>
        <v>130</v>
      </c>
      <c r="Y85" s="61">
        <f t="shared" si="16"/>
        <v>106</v>
      </c>
      <c r="Z85" s="61">
        <f t="shared" si="16"/>
        <v>3</v>
      </c>
      <c r="AA85" s="61">
        <f t="shared" si="16"/>
        <v>38</v>
      </c>
      <c r="AB85" s="61">
        <f t="shared" si="16"/>
        <v>0</v>
      </c>
      <c r="AC85" s="61">
        <f t="shared" si="16"/>
        <v>0</v>
      </c>
      <c r="AD85" s="61">
        <f t="shared" si="16"/>
        <v>0</v>
      </c>
      <c r="AE85" s="61">
        <f t="shared" si="16"/>
        <v>0</v>
      </c>
      <c r="AF85" s="61">
        <f t="shared" si="16"/>
        <v>0</v>
      </c>
      <c r="AG85" s="61">
        <f t="shared" si="16"/>
        <v>0</v>
      </c>
      <c r="AH85" s="61">
        <f t="shared" si="16"/>
        <v>0</v>
      </c>
      <c r="AI85" s="61">
        <f t="shared" si="16"/>
        <v>0</v>
      </c>
      <c r="AJ85" s="61">
        <f t="shared" si="16"/>
        <v>0</v>
      </c>
      <c r="AK85" s="61">
        <f t="shared" si="16"/>
        <v>0</v>
      </c>
    </row>
    <row r="86" spans="2:37" x14ac:dyDescent="0.25">
      <c r="G86" t="s">
        <v>243</v>
      </c>
      <c r="H86" t="s">
        <v>1016</v>
      </c>
      <c r="I86" s="59">
        <v>0</v>
      </c>
      <c r="J86" s="59">
        <v>39</v>
      </c>
      <c r="K86" s="59">
        <v>49</v>
      </c>
      <c r="L86" s="59">
        <v>86</v>
      </c>
      <c r="M86" s="59">
        <v>88</v>
      </c>
      <c r="N86" s="59">
        <v>54</v>
      </c>
      <c r="O86" s="59">
        <v>26</v>
      </c>
      <c r="P86" s="59">
        <v>27</v>
      </c>
      <c r="Q86" s="59">
        <v>35</v>
      </c>
      <c r="R86" s="59">
        <v>1</v>
      </c>
      <c r="S86" s="59">
        <v>26</v>
      </c>
      <c r="T86" s="59">
        <v>0</v>
      </c>
      <c r="U86" s="59">
        <v>57</v>
      </c>
      <c r="V86" s="59">
        <v>0</v>
      </c>
      <c r="W86" s="59">
        <v>0</v>
      </c>
      <c r="X86" s="59">
        <v>130</v>
      </c>
      <c r="Y86" s="59">
        <v>106</v>
      </c>
      <c r="Z86" s="59">
        <v>3</v>
      </c>
      <c r="AA86" s="59">
        <v>38</v>
      </c>
    </row>
    <row r="87" spans="2:37" x14ac:dyDescent="0.25">
      <c r="G87" t="s">
        <v>244</v>
      </c>
      <c r="H87" t="s">
        <v>1016</v>
      </c>
      <c r="I87" s="59"/>
      <c r="J87" s="59"/>
      <c r="K87" s="59"/>
      <c r="L87" s="59"/>
      <c r="M87" s="59"/>
      <c r="N87" s="59"/>
      <c r="O87" s="59"/>
      <c r="P87" s="59"/>
      <c r="Q87" s="59"/>
      <c r="R87" s="59"/>
      <c r="S87" s="59"/>
      <c r="T87" s="59"/>
      <c r="U87" s="59"/>
      <c r="V87" s="59"/>
      <c r="W87" s="59"/>
      <c r="X87" s="59"/>
      <c r="Y87" s="59"/>
      <c r="Z87" s="59"/>
    </row>
    <row r="88" spans="2:37" x14ac:dyDescent="0.25">
      <c r="E88" s="16" t="s">
        <v>242</v>
      </c>
      <c r="F88" s="16"/>
      <c r="G88" s="16"/>
      <c r="H88" s="16" t="s">
        <v>1017</v>
      </c>
      <c r="I88" s="61">
        <f t="shared" ref="I88:AK88" si="17">SUM(I89:I90)</f>
        <v>800</v>
      </c>
      <c r="J88" s="61">
        <f t="shared" si="17"/>
        <v>52525</v>
      </c>
      <c r="K88" s="61">
        <f t="shared" si="17"/>
        <v>26448</v>
      </c>
      <c r="L88" s="61">
        <f t="shared" si="17"/>
        <v>164716</v>
      </c>
      <c r="M88" s="61">
        <f t="shared" si="17"/>
        <v>66199</v>
      </c>
      <c r="N88" s="61">
        <f t="shared" si="17"/>
        <v>81684</v>
      </c>
      <c r="O88" s="61">
        <f t="shared" si="17"/>
        <v>48147</v>
      </c>
      <c r="P88" s="61">
        <f t="shared" si="17"/>
        <v>48359</v>
      </c>
      <c r="Q88" s="61">
        <f t="shared" si="17"/>
        <v>46236</v>
      </c>
      <c r="R88" s="61">
        <f t="shared" si="17"/>
        <v>1520</v>
      </c>
      <c r="S88" s="61">
        <f t="shared" si="17"/>
        <v>18899</v>
      </c>
      <c r="T88" s="61">
        <f t="shared" si="17"/>
        <v>414</v>
      </c>
      <c r="U88" s="61">
        <f t="shared" si="17"/>
        <v>56252</v>
      </c>
      <c r="V88" s="61">
        <f t="shared" si="17"/>
        <v>-1143</v>
      </c>
      <c r="W88" s="61">
        <f t="shared" si="17"/>
        <v>-1305</v>
      </c>
      <c r="X88" s="61">
        <f t="shared" si="17"/>
        <v>128401</v>
      </c>
      <c r="Y88" s="61">
        <f t="shared" si="17"/>
        <v>43833</v>
      </c>
      <c r="Z88" s="61">
        <f t="shared" si="17"/>
        <v>2124</v>
      </c>
      <c r="AA88" s="61">
        <f t="shared" si="17"/>
        <v>35178</v>
      </c>
      <c r="AB88" s="61">
        <f t="shared" si="17"/>
        <v>0</v>
      </c>
      <c r="AC88" s="61">
        <f t="shared" si="17"/>
        <v>0</v>
      </c>
      <c r="AD88" s="61">
        <f t="shared" si="17"/>
        <v>0</v>
      </c>
      <c r="AE88" s="61">
        <f t="shared" si="17"/>
        <v>0</v>
      </c>
      <c r="AF88" s="61">
        <f t="shared" si="17"/>
        <v>0</v>
      </c>
      <c r="AG88" s="61">
        <f t="shared" si="17"/>
        <v>0</v>
      </c>
      <c r="AH88" s="61">
        <f t="shared" si="17"/>
        <v>0</v>
      </c>
      <c r="AI88" s="61">
        <f t="shared" si="17"/>
        <v>0</v>
      </c>
      <c r="AJ88" s="61">
        <f t="shared" si="17"/>
        <v>0</v>
      </c>
      <c r="AK88" s="61">
        <f t="shared" si="17"/>
        <v>0</v>
      </c>
    </row>
    <row r="89" spans="2:37" x14ac:dyDescent="0.25">
      <c r="G89" t="s">
        <v>243</v>
      </c>
      <c r="H89" t="s">
        <v>1017</v>
      </c>
      <c r="I89" s="59">
        <v>800</v>
      </c>
      <c r="J89" s="59">
        <v>52525</v>
      </c>
      <c r="K89" s="59">
        <v>26448</v>
      </c>
      <c r="L89" s="59">
        <v>164716</v>
      </c>
      <c r="M89" s="59">
        <v>66199</v>
      </c>
      <c r="N89" s="59">
        <v>81684</v>
      </c>
      <c r="O89" s="59">
        <v>48147</v>
      </c>
      <c r="P89" s="59">
        <v>48359</v>
      </c>
      <c r="Q89" s="59">
        <v>46236</v>
      </c>
      <c r="R89" s="59">
        <v>1520</v>
      </c>
      <c r="S89" s="59">
        <v>18899</v>
      </c>
      <c r="T89" s="59">
        <v>414</v>
      </c>
      <c r="U89" s="59">
        <v>56252</v>
      </c>
      <c r="V89" s="59">
        <v>-1143</v>
      </c>
      <c r="W89" s="59">
        <v>-1305</v>
      </c>
      <c r="X89" s="59">
        <v>128401</v>
      </c>
      <c r="Y89" s="59">
        <v>43833</v>
      </c>
      <c r="Z89" s="59">
        <v>2124</v>
      </c>
      <c r="AA89">
        <v>35178</v>
      </c>
    </row>
    <row r="90" spans="2:37" x14ac:dyDescent="0.25">
      <c r="G90" t="s">
        <v>244</v>
      </c>
      <c r="H90" t="s">
        <v>1017</v>
      </c>
      <c r="I90" s="59"/>
      <c r="J90" s="59"/>
      <c r="K90" s="59"/>
      <c r="L90" s="59"/>
      <c r="M90" s="59"/>
      <c r="N90" s="59"/>
      <c r="O90" s="59"/>
      <c r="P90" s="59"/>
      <c r="Q90" s="59"/>
      <c r="R90" s="59"/>
      <c r="S90" s="59"/>
      <c r="T90" s="59"/>
      <c r="U90" s="59"/>
      <c r="V90" s="59"/>
      <c r="W90" s="59"/>
      <c r="X90" s="59"/>
      <c r="Y90" s="59"/>
      <c r="Z90" s="59"/>
    </row>
    <row r="91" spans="2:37" s="13" customFormat="1" x14ac:dyDescent="0.25">
      <c r="B91" s="14"/>
      <c r="D91" s="13" t="s">
        <v>1077</v>
      </c>
      <c r="I91" s="62"/>
      <c r="J91" s="62"/>
      <c r="K91" s="62"/>
      <c r="L91" s="62"/>
      <c r="M91" s="62"/>
      <c r="N91" s="62"/>
      <c r="O91" s="62"/>
      <c r="P91" s="62"/>
      <c r="Q91" s="62"/>
      <c r="R91" s="62"/>
      <c r="S91" s="62"/>
      <c r="T91" s="62"/>
      <c r="U91" s="62"/>
      <c r="V91" s="62"/>
      <c r="W91" s="62"/>
      <c r="X91" s="62"/>
      <c r="Y91" s="62"/>
      <c r="Z91" s="62"/>
    </row>
    <row r="92" spans="2:37" s="16" customFormat="1" x14ac:dyDescent="0.25">
      <c r="B92" s="17"/>
      <c r="E92" s="16" t="s">
        <v>245</v>
      </c>
      <c r="H92" s="16" t="s">
        <v>1017</v>
      </c>
      <c r="I92" s="61">
        <f t="shared" ref="I92:AK92" si="18">SUM(I94,I96,I97,I98:I101)</f>
        <v>154535</v>
      </c>
      <c r="J92" s="61">
        <f t="shared" si="18"/>
        <v>188026</v>
      </c>
      <c r="K92" s="61">
        <f t="shared" si="18"/>
        <v>201252</v>
      </c>
      <c r="L92" s="61">
        <f t="shared" si="18"/>
        <v>128319</v>
      </c>
      <c r="M92" s="61">
        <f t="shared" si="18"/>
        <v>260836</v>
      </c>
      <c r="N92" s="61">
        <f t="shared" si="18"/>
        <v>349728</v>
      </c>
      <c r="O92" s="61">
        <f t="shared" si="18"/>
        <v>79794</v>
      </c>
      <c r="P92" s="61">
        <f t="shared" si="18"/>
        <v>184790</v>
      </c>
      <c r="Q92" s="61">
        <f t="shared" si="18"/>
        <v>77912</v>
      </c>
      <c r="R92" s="61">
        <f t="shared" si="18"/>
        <v>66964</v>
      </c>
      <c r="S92" s="61">
        <f t="shared" si="18"/>
        <v>56515</v>
      </c>
      <c r="T92" s="61">
        <f t="shared" si="18"/>
        <v>45081</v>
      </c>
      <c r="U92" s="61">
        <f t="shared" si="18"/>
        <v>118924</v>
      </c>
      <c r="V92" s="61">
        <f t="shared" si="18"/>
        <v>53226</v>
      </c>
      <c r="W92" s="61">
        <f t="shared" si="18"/>
        <v>53593</v>
      </c>
      <c r="X92" s="61">
        <f t="shared" si="18"/>
        <v>49753</v>
      </c>
      <c r="Y92" s="61">
        <f t="shared" si="18"/>
        <v>102756</v>
      </c>
      <c r="Z92" s="61">
        <f t="shared" si="18"/>
        <v>118212</v>
      </c>
      <c r="AA92" s="61">
        <f>SUM(AA94,AA96,AA97,AA98:AA101)</f>
        <v>69628</v>
      </c>
      <c r="AB92" s="61">
        <f t="shared" si="18"/>
        <v>0</v>
      </c>
      <c r="AC92" s="61">
        <f t="shared" si="18"/>
        <v>0</v>
      </c>
      <c r="AD92" s="61">
        <f t="shared" si="18"/>
        <v>0</v>
      </c>
      <c r="AE92" s="61">
        <f t="shared" si="18"/>
        <v>0</v>
      </c>
      <c r="AF92" s="61">
        <f t="shared" si="18"/>
        <v>0</v>
      </c>
      <c r="AG92" s="61">
        <f t="shared" si="18"/>
        <v>0</v>
      </c>
      <c r="AH92" s="61">
        <f t="shared" si="18"/>
        <v>0</v>
      </c>
      <c r="AI92" s="61">
        <f t="shared" si="18"/>
        <v>0</v>
      </c>
      <c r="AJ92" s="61">
        <f t="shared" si="18"/>
        <v>0</v>
      </c>
      <c r="AK92" s="61">
        <f t="shared" si="18"/>
        <v>0</v>
      </c>
    </row>
    <row r="93" spans="2:37" s="16" customFormat="1" x14ac:dyDescent="0.25">
      <c r="B93" s="17"/>
      <c r="F93" s="16" t="s">
        <v>246</v>
      </c>
      <c r="H93" s="16" t="s">
        <v>1017</v>
      </c>
      <c r="I93" s="61">
        <f t="shared" ref="I93:AK93" si="19">SUM(I96:I100)</f>
        <v>31170</v>
      </c>
      <c r="J93" s="61">
        <f t="shared" si="19"/>
        <v>172184</v>
      </c>
      <c r="K93" s="61">
        <f t="shared" si="19"/>
        <v>154688</v>
      </c>
      <c r="L93" s="61">
        <f t="shared" si="19"/>
        <v>31853</v>
      </c>
      <c r="M93" s="61">
        <f t="shared" si="19"/>
        <v>72013</v>
      </c>
      <c r="N93" s="61">
        <f t="shared" si="19"/>
        <v>142293</v>
      </c>
      <c r="O93" s="61">
        <f t="shared" si="19"/>
        <v>70636</v>
      </c>
      <c r="P93" s="61">
        <f t="shared" si="19"/>
        <v>179847</v>
      </c>
      <c r="Q93" s="61">
        <f t="shared" si="19"/>
        <v>41313</v>
      </c>
      <c r="R93" s="61">
        <f t="shared" si="19"/>
        <v>6277</v>
      </c>
      <c r="S93" s="61">
        <f t="shared" si="19"/>
        <v>26557</v>
      </c>
      <c r="T93" s="61">
        <f t="shared" si="19"/>
        <v>42578</v>
      </c>
      <c r="U93" s="61">
        <f t="shared" si="19"/>
        <v>105395</v>
      </c>
      <c r="V93" s="61">
        <f t="shared" si="19"/>
        <v>18152</v>
      </c>
      <c r="W93" s="61">
        <f t="shared" si="19"/>
        <v>49326</v>
      </c>
      <c r="X93" s="61">
        <f t="shared" si="19"/>
        <v>48471</v>
      </c>
      <c r="Y93" s="61">
        <f t="shared" si="19"/>
        <v>13302</v>
      </c>
      <c r="Z93" s="61">
        <f t="shared" si="19"/>
        <v>52016</v>
      </c>
      <c r="AA93" s="61">
        <f t="shared" si="19"/>
        <v>30392</v>
      </c>
      <c r="AB93" s="61">
        <f t="shared" si="19"/>
        <v>0</v>
      </c>
      <c r="AC93" s="61">
        <f t="shared" si="19"/>
        <v>0</v>
      </c>
      <c r="AD93" s="61">
        <f t="shared" si="19"/>
        <v>0</v>
      </c>
      <c r="AE93" s="61">
        <f t="shared" si="19"/>
        <v>0</v>
      </c>
      <c r="AF93" s="61">
        <f t="shared" si="19"/>
        <v>0</v>
      </c>
      <c r="AG93" s="61">
        <f t="shared" si="19"/>
        <v>0</v>
      </c>
      <c r="AH93" s="61">
        <f t="shared" si="19"/>
        <v>0</v>
      </c>
      <c r="AI93" s="61">
        <f t="shared" si="19"/>
        <v>0</v>
      </c>
      <c r="AJ93" s="61">
        <f t="shared" si="19"/>
        <v>0</v>
      </c>
      <c r="AK93" s="61">
        <f t="shared" si="19"/>
        <v>0</v>
      </c>
    </row>
    <row r="94" spans="2:37" x14ac:dyDescent="0.25">
      <c r="G94" t="s">
        <v>235</v>
      </c>
      <c r="H94" t="s">
        <v>1017</v>
      </c>
      <c r="I94" s="59">
        <v>104</v>
      </c>
      <c r="J94" s="59">
        <v>840</v>
      </c>
      <c r="K94" s="59">
        <v>13600</v>
      </c>
      <c r="L94" s="59">
        <v>272</v>
      </c>
      <c r="M94" s="59">
        <v>2400</v>
      </c>
      <c r="N94" s="59">
        <v>16996</v>
      </c>
      <c r="O94" s="59">
        <v>2100</v>
      </c>
      <c r="P94" s="59">
        <v>1264</v>
      </c>
      <c r="Q94" s="59">
        <v>1008</v>
      </c>
      <c r="R94" s="59">
        <v>0</v>
      </c>
      <c r="S94" s="59">
        <v>0</v>
      </c>
      <c r="T94" s="59">
        <v>0</v>
      </c>
      <c r="U94" s="59">
        <v>3945</v>
      </c>
      <c r="V94" s="59">
        <v>1593</v>
      </c>
      <c r="W94" s="59">
        <v>0</v>
      </c>
      <c r="X94" s="59">
        <v>0</v>
      </c>
      <c r="Y94" s="59">
        <v>0</v>
      </c>
      <c r="Z94" s="59">
        <v>2520</v>
      </c>
      <c r="AA94">
        <v>9322</v>
      </c>
      <c r="AC94" s="59"/>
      <c r="AF94" s="122"/>
    </row>
    <row r="95" spans="2:37" x14ac:dyDescent="0.25">
      <c r="B95" s="305"/>
      <c r="C95" t="s">
        <v>18</v>
      </c>
      <c r="G95" t="s">
        <v>247</v>
      </c>
      <c r="H95" t="s">
        <v>1017</v>
      </c>
      <c r="I95" s="59">
        <v>600</v>
      </c>
      <c r="J95" s="59">
        <v>0</v>
      </c>
      <c r="K95" s="59">
        <v>4320</v>
      </c>
      <c r="L95" s="59">
        <v>3403</v>
      </c>
      <c r="M95" s="59">
        <v>386</v>
      </c>
      <c r="N95" s="59">
        <v>4231</v>
      </c>
      <c r="O95" s="59">
        <v>564</v>
      </c>
      <c r="P95" s="59">
        <v>2282</v>
      </c>
      <c r="Q95" s="59">
        <v>0</v>
      </c>
      <c r="R95" s="59">
        <v>0</v>
      </c>
      <c r="S95" s="59">
        <v>0</v>
      </c>
      <c r="T95" s="59">
        <v>0</v>
      </c>
      <c r="U95" s="59">
        <v>3564</v>
      </c>
      <c r="V95" s="59">
        <v>0</v>
      </c>
      <c r="W95" s="59">
        <v>1477</v>
      </c>
      <c r="X95" s="59">
        <v>1336</v>
      </c>
      <c r="Y95" s="59">
        <v>2566</v>
      </c>
      <c r="Z95" s="59">
        <v>416</v>
      </c>
      <c r="AA95" s="59">
        <v>0</v>
      </c>
      <c r="AC95" s="59"/>
      <c r="AF95" s="122"/>
    </row>
    <row r="96" spans="2:37" x14ac:dyDescent="0.25">
      <c r="G96" t="s">
        <v>248</v>
      </c>
      <c r="H96" t="s">
        <v>1017</v>
      </c>
      <c r="I96" s="59">
        <v>256</v>
      </c>
      <c r="J96" s="59">
        <v>10518</v>
      </c>
      <c r="K96" s="59">
        <v>0</v>
      </c>
      <c r="L96" s="59">
        <v>4267</v>
      </c>
      <c r="M96" s="59">
        <v>11356</v>
      </c>
      <c r="N96" s="59">
        <v>38977</v>
      </c>
      <c r="O96" s="59">
        <v>17603</v>
      </c>
      <c r="P96" s="59">
        <v>58450</v>
      </c>
      <c r="Q96" s="59">
        <v>2634</v>
      </c>
      <c r="R96" s="59">
        <v>0</v>
      </c>
      <c r="S96" s="59">
        <v>0</v>
      </c>
      <c r="T96" s="59">
        <v>23039</v>
      </c>
      <c r="U96" s="59">
        <v>1436</v>
      </c>
      <c r="V96" s="59">
        <v>804</v>
      </c>
      <c r="W96" s="59">
        <v>1779</v>
      </c>
      <c r="X96" s="59">
        <v>3123</v>
      </c>
      <c r="Y96" s="59">
        <v>187</v>
      </c>
      <c r="Z96" s="59">
        <v>4233</v>
      </c>
      <c r="AA96" s="59">
        <v>8170</v>
      </c>
      <c r="AC96" s="59"/>
      <c r="AF96" s="122"/>
    </row>
    <row r="97" spans="2:37" x14ac:dyDescent="0.25">
      <c r="G97" t="s">
        <v>249</v>
      </c>
      <c r="H97" t="s">
        <v>1017</v>
      </c>
      <c r="I97" s="59">
        <v>1312</v>
      </c>
      <c r="J97" s="59">
        <v>5326</v>
      </c>
      <c r="K97" s="59">
        <v>7988</v>
      </c>
      <c r="L97" s="59">
        <v>0</v>
      </c>
      <c r="M97" s="59">
        <v>4159</v>
      </c>
      <c r="N97" s="59">
        <v>4679</v>
      </c>
      <c r="O97" s="59">
        <v>0</v>
      </c>
      <c r="P97" s="59">
        <v>6164</v>
      </c>
      <c r="Q97" s="59">
        <v>3813</v>
      </c>
      <c r="R97" s="59">
        <v>4739</v>
      </c>
      <c r="S97" s="59">
        <v>0</v>
      </c>
      <c r="T97" s="59">
        <v>2003</v>
      </c>
      <c r="U97" s="59">
        <v>3031</v>
      </c>
      <c r="V97" s="59">
        <v>0</v>
      </c>
      <c r="W97" s="59">
        <v>4199</v>
      </c>
      <c r="X97" s="59">
        <v>15908</v>
      </c>
      <c r="Y97" s="59">
        <v>12553</v>
      </c>
      <c r="Z97" s="59">
        <v>547</v>
      </c>
      <c r="AA97" s="59">
        <v>670</v>
      </c>
      <c r="AB97" s="302"/>
      <c r="AC97" s="59"/>
      <c r="AF97" s="122"/>
    </row>
    <row r="98" spans="2:37" x14ac:dyDescent="0.25">
      <c r="G98" t="s">
        <v>250</v>
      </c>
      <c r="H98" t="s">
        <v>1017</v>
      </c>
      <c r="I98" s="59">
        <v>16528</v>
      </c>
      <c r="J98" s="59">
        <v>27703</v>
      </c>
      <c r="K98" s="59">
        <v>26295</v>
      </c>
      <c r="L98" s="59">
        <v>11492</v>
      </c>
      <c r="M98" s="59">
        <v>45948</v>
      </c>
      <c r="N98" s="59">
        <v>50626</v>
      </c>
      <c r="O98" s="59">
        <v>30466</v>
      </c>
      <c r="P98" s="59">
        <v>77395</v>
      </c>
      <c r="Q98" s="59">
        <v>18906</v>
      </c>
      <c r="R98" s="59">
        <v>-1268</v>
      </c>
      <c r="S98" s="59">
        <v>13606</v>
      </c>
      <c r="T98" s="59">
        <v>3539</v>
      </c>
      <c r="U98" s="59">
        <v>-524</v>
      </c>
      <c r="V98" s="59">
        <v>3900</v>
      </c>
      <c r="W98" s="59">
        <v>-3359</v>
      </c>
      <c r="X98" s="59">
        <v>23080</v>
      </c>
      <c r="Y98" s="59">
        <v>6840</v>
      </c>
      <c r="Z98" s="59">
        <v>18066</v>
      </c>
      <c r="AA98">
        <v>5943</v>
      </c>
      <c r="AC98" s="59"/>
      <c r="AF98" s="122"/>
    </row>
    <row r="99" spans="2:37" x14ac:dyDescent="0.25">
      <c r="G99" t="s">
        <v>251</v>
      </c>
      <c r="H99" t="s">
        <v>1017</v>
      </c>
      <c r="I99" s="59">
        <v>10730</v>
      </c>
      <c r="J99" s="59">
        <v>21103</v>
      </c>
      <c r="K99" s="59">
        <v>10252</v>
      </c>
      <c r="L99" s="59">
        <v>8250</v>
      </c>
      <c r="M99" s="59">
        <v>10053</v>
      </c>
      <c r="N99" s="59">
        <v>25850</v>
      </c>
      <c r="O99" s="59">
        <v>5650</v>
      </c>
      <c r="P99" s="59">
        <v>14300</v>
      </c>
      <c r="Q99" s="59">
        <v>2214</v>
      </c>
      <c r="R99" s="59">
        <v>2806</v>
      </c>
      <c r="S99" s="59">
        <v>0</v>
      </c>
      <c r="T99" s="59">
        <v>15929</v>
      </c>
      <c r="U99" s="59">
        <v>57893</v>
      </c>
      <c r="V99" s="59">
        <v>5892</v>
      </c>
      <c r="W99" s="59">
        <v>24157</v>
      </c>
      <c r="X99" s="59">
        <v>-9330</v>
      </c>
      <c r="Y99" s="59">
        <v>-15375</v>
      </c>
      <c r="Z99" s="59">
        <v>-2945</v>
      </c>
      <c r="AA99">
        <v>-5600</v>
      </c>
      <c r="AC99" s="59"/>
      <c r="AF99" s="122"/>
    </row>
    <row r="100" spans="2:37" x14ac:dyDescent="0.25">
      <c r="G100" t="s">
        <v>252</v>
      </c>
      <c r="H100" t="s">
        <v>1017</v>
      </c>
      <c r="I100" s="59">
        <v>2344</v>
      </c>
      <c r="J100" s="59">
        <v>107534</v>
      </c>
      <c r="K100" s="59">
        <v>110153</v>
      </c>
      <c r="L100" s="59">
        <v>7844</v>
      </c>
      <c r="M100" s="59">
        <v>497</v>
      </c>
      <c r="N100" s="59">
        <v>22161</v>
      </c>
      <c r="O100" s="59">
        <v>16917</v>
      </c>
      <c r="P100" s="59">
        <v>23538</v>
      </c>
      <c r="Q100" s="59">
        <v>13746</v>
      </c>
      <c r="R100" s="59">
        <v>0</v>
      </c>
      <c r="S100" s="59">
        <v>12951</v>
      </c>
      <c r="T100" s="59">
        <v>-1932</v>
      </c>
      <c r="U100" s="59">
        <v>43559</v>
      </c>
      <c r="V100" s="59">
        <v>7556</v>
      </c>
      <c r="W100" s="59">
        <v>22550</v>
      </c>
      <c r="X100" s="59">
        <v>15690</v>
      </c>
      <c r="Y100" s="59">
        <v>9097</v>
      </c>
      <c r="Z100" s="59">
        <v>32115</v>
      </c>
      <c r="AA100">
        <v>21209</v>
      </c>
      <c r="AC100" s="59"/>
      <c r="AF100" s="122"/>
    </row>
    <row r="101" spans="2:37" x14ac:dyDescent="0.25">
      <c r="G101" t="s">
        <v>253</v>
      </c>
      <c r="H101" t="s">
        <v>1017</v>
      </c>
      <c r="I101" s="59">
        <v>123261</v>
      </c>
      <c r="J101" s="59">
        <v>15002</v>
      </c>
      <c r="K101" s="59">
        <v>32964</v>
      </c>
      <c r="L101" s="59">
        <v>96194</v>
      </c>
      <c r="M101" s="59">
        <v>186423</v>
      </c>
      <c r="N101" s="59">
        <v>190439</v>
      </c>
      <c r="O101" s="59">
        <v>7058</v>
      </c>
      <c r="P101" s="59">
        <v>3679</v>
      </c>
      <c r="Q101" s="59">
        <v>35591</v>
      </c>
      <c r="R101" s="59">
        <v>60687</v>
      </c>
      <c r="S101" s="59">
        <v>29958</v>
      </c>
      <c r="T101" s="59">
        <v>2503</v>
      </c>
      <c r="U101" s="59">
        <v>9584</v>
      </c>
      <c r="V101" s="59">
        <v>33481</v>
      </c>
      <c r="W101" s="59">
        <v>4267</v>
      </c>
      <c r="X101" s="59">
        <v>1282</v>
      </c>
      <c r="Y101" s="59">
        <v>89454</v>
      </c>
      <c r="Z101" s="59">
        <v>63676</v>
      </c>
      <c r="AA101">
        <v>29914</v>
      </c>
      <c r="AC101" s="59"/>
      <c r="AF101" s="122"/>
    </row>
    <row r="102" spans="2:37" s="13" customFormat="1" x14ac:dyDescent="0.25">
      <c r="D102" s="15" t="s">
        <v>1078</v>
      </c>
      <c r="I102" s="62"/>
      <c r="J102" s="62"/>
      <c r="K102" s="62"/>
      <c r="L102" s="62"/>
      <c r="M102" s="62"/>
      <c r="N102" s="62"/>
      <c r="O102" s="62"/>
      <c r="P102" s="62"/>
      <c r="Q102" s="62"/>
      <c r="R102" s="62"/>
      <c r="S102" s="62"/>
      <c r="T102" s="62"/>
      <c r="U102" s="62"/>
      <c r="V102" s="62"/>
      <c r="W102" s="62"/>
      <c r="X102" s="62"/>
      <c r="Y102" s="62"/>
      <c r="Z102" s="301"/>
      <c r="AC102" s="62"/>
      <c r="AF102" s="303"/>
    </row>
    <row r="103" spans="2:37" s="16" customFormat="1" x14ac:dyDescent="0.25">
      <c r="B103" s="17"/>
      <c r="E103" s="16" t="s">
        <v>35</v>
      </c>
      <c r="H103" s="16" t="s">
        <v>1015</v>
      </c>
      <c r="I103" s="61">
        <f t="shared" ref="I103:Z103" si="20">SUM(I104:I107,I109)</f>
        <v>8151</v>
      </c>
      <c r="J103" s="61">
        <f t="shared" si="20"/>
        <v>8338</v>
      </c>
      <c r="K103" s="61">
        <f t="shared" si="20"/>
        <v>8659</v>
      </c>
      <c r="L103" s="61">
        <f t="shared" si="20"/>
        <v>8815</v>
      </c>
      <c r="M103" s="61">
        <f t="shared" si="20"/>
        <v>9072</v>
      </c>
      <c r="N103" s="61">
        <f t="shared" si="20"/>
        <v>9238</v>
      </c>
      <c r="O103" s="61">
        <f t="shared" si="20"/>
        <v>9403</v>
      </c>
      <c r="P103" s="61">
        <f t="shared" si="20"/>
        <v>9584</v>
      </c>
      <c r="Q103" s="61">
        <f t="shared" si="20"/>
        <v>9754</v>
      </c>
      <c r="R103" s="61">
        <f t="shared" si="20"/>
        <v>9822</v>
      </c>
      <c r="S103" s="61">
        <f t="shared" si="20"/>
        <v>9889</v>
      </c>
      <c r="T103" s="61">
        <f t="shared" si="20"/>
        <v>9952</v>
      </c>
      <c r="U103" s="61">
        <f t="shared" si="20"/>
        <v>10058</v>
      </c>
      <c r="V103" s="61">
        <f t="shared" si="20"/>
        <v>10185</v>
      </c>
      <c r="W103" s="61">
        <f t="shared" si="20"/>
        <v>10318</v>
      </c>
      <c r="X103" s="61">
        <f t="shared" si="20"/>
        <v>10444</v>
      </c>
      <c r="Y103" s="61">
        <f t="shared" si="20"/>
        <v>10623</v>
      </c>
      <c r="Z103" s="61">
        <f t="shared" si="20"/>
        <v>10841</v>
      </c>
      <c r="AA103" s="61">
        <f t="shared" ref="AA103:AK103" si="21">SUM(AA104:AA107,AA109)</f>
        <v>11063</v>
      </c>
      <c r="AB103" s="61">
        <f t="shared" si="21"/>
        <v>11063</v>
      </c>
      <c r="AC103" s="61">
        <f t="shared" si="21"/>
        <v>11063</v>
      </c>
      <c r="AD103" s="61">
        <f t="shared" si="21"/>
        <v>11063</v>
      </c>
      <c r="AE103" s="61">
        <f t="shared" si="21"/>
        <v>11063</v>
      </c>
      <c r="AF103" s="61">
        <f t="shared" si="21"/>
        <v>11063</v>
      </c>
      <c r="AG103" s="61">
        <f t="shared" si="21"/>
        <v>11063</v>
      </c>
      <c r="AH103" s="61">
        <f t="shared" si="21"/>
        <v>11063</v>
      </c>
      <c r="AI103" s="61">
        <f t="shared" si="21"/>
        <v>11063</v>
      </c>
      <c r="AJ103" s="61">
        <f t="shared" si="21"/>
        <v>11063</v>
      </c>
      <c r="AK103" s="61">
        <f t="shared" si="21"/>
        <v>11063</v>
      </c>
    </row>
    <row r="104" spans="2:37" x14ac:dyDescent="0.25">
      <c r="G104" t="s">
        <v>235</v>
      </c>
      <c r="H104" s="9" t="s">
        <v>1015</v>
      </c>
      <c r="I104" s="59">
        <f t="shared" ref="I104:V104" si="22">J104-J72</f>
        <v>206</v>
      </c>
      <c r="J104" s="59">
        <f t="shared" si="22"/>
        <v>206</v>
      </c>
      <c r="K104" s="59">
        <f t="shared" si="22"/>
        <v>206</v>
      </c>
      <c r="L104" s="59">
        <f t="shared" si="22"/>
        <v>206</v>
      </c>
      <c r="M104" s="59">
        <f t="shared" si="22"/>
        <v>207</v>
      </c>
      <c r="N104" s="59">
        <f t="shared" si="22"/>
        <v>208</v>
      </c>
      <c r="O104" s="59">
        <f t="shared" si="22"/>
        <v>208</v>
      </c>
      <c r="P104" s="59">
        <f t="shared" si="22"/>
        <v>209</v>
      </c>
      <c r="Q104" s="59">
        <f t="shared" si="22"/>
        <v>209</v>
      </c>
      <c r="R104" s="59">
        <f t="shared" si="22"/>
        <v>209</v>
      </c>
      <c r="S104" s="59">
        <f t="shared" si="22"/>
        <v>209</v>
      </c>
      <c r="T104" s="59">
        <f t="shared" si="22"/>
        <v>209</v>
      </c>
      <c r="U104" s="59">
        <f t="shared" si="22"/>
        <v>211</v>
      </c>
      <c r="V104" s="59">
        <f t="shared" si="22"/>
        <v>211</v>
      </c>
      <c r="W104" s="59">
        <v>211</v>
      </c>
      <c r="X104" s="59">
        <f t="shared" ref="X104:AK104" si="23">W104+X72</f>
        <v>211</v>
      </c>
      <c r="Y104" s="59">
        <f t="shared" si="23"/>
        <v>211</v>
      </c>
      <c r="Z104" s="59">
        <f t="shared" si="23"/>
        <v>211</v>
      </c>
      <c r="AA104" s="59">
        <f t="shared" si="23"/>
        <v>215</v>
      </c>
      <c r="AB104" s="59">
        <f t="shared" si="23"/>
        <v>215</v>
      </c>
      <c r="AC104" s="59">
        <f t="shared" si="23"/>
        <v>215</v>
      </c>
      <c r="AD104" s="59">
        <f t="shared" si="23"/>
        <v>215</v>
      </c>
      <c r="AE104" s="59">
        <f t="shared" si="23"/>
        <v>215</v>
      </c>
      <c r="AF104" s="59">
        <f t="shared" si="23"/>
        <v>215</v>
      </c>
      <c r="AG104" s="59">
        <f t="shared" si="23"/>
        <v>215</v>
      </c>
      <c r="AH104" s="59">
        <f t="shared" si="23"/>
        <v>215</v>
      </c>
      <c r="AI104" s="59">
        <f t="shared" si="23"/>
        <v>215</v>
      </c>
      <c r="AJ104" s="59">
        <f t="shared" si="23"/>
        <v>215</v>
      </c>
      <c r="AK104" s="59">
        <f t="shared" si="23"/>
        <v>215</v>
      </c>
    </row>
    <row r="105" spans="2:37" x14ac:dyDescent="0.25">
      <c r="G105" t="s">
        <v>236</v>
      </c>
      <c r="H105" s="9" t="s">
        <v>1015</v>
      </c>
      <c r="I105" s="59">
        <f t="shared" ref="I105:V105" si="24">J105-J73</f>
        <v>5003</v>
      </c>
      <c r="J105" s="59">
        <f t="shared" si="24"/>
        <v>5114</v>
      </c>
      <c r="K105" s="59">
        <f t="shared" si="24"/>
        <v>5197</v>
      </c>
      <c r="L105" s="59">
        <f t="shared" si="24"/>
        <v>5288</v>
      </c>
      <c r="M105" s="59">
        <f t="shared" si="24"/>
        <v>5418</v>
      </c>
      <c r="N105" s="59">
        <f t="shared" si="24"/>
        <v>5520</v>
      </c>
      <c r="O105" s="59">
        <f t="shared" si="24"/>
        <v>5651</v>
      </c>
      <c r="P105" s="59">
        <f t="shared" si="24"/>
        <v>5741</v>
      </c>
      <c r="Q105" s="59">
        <f t="shared" si="24"/>
        <v>5837</v>
      </c>
      <c r="R105" s="59">
        <f t="shared" si="24"/>
        <v>5882</v>
      </c>
      <c r="S105" s="59">
        <f t="shared" si="24"/>
        <v>5931</v>
      </c>
      <c r="T105" s="59">
        <f t="shared" si="24"/>
        <v>5979</v>
      </c>
      <c r="U105" s="59">
        <f t="shared" si="24"/>
        <v>6033</v>
      </c>
      <c r="V105" s="59">
        <f t="shared" si="24"/>
        <v>6127</v>
      </c>
      <c r="W105" s="59">
        <v>6211</v>
      </c>
      <c r="X105" s="59">
        <f t="shared" ref="X105:AK105" si="25">W105+X73</f>
        <v>6308</v>
      </c>
      <c r="Y105" s="59">
        <f t="shared" si="25"/>
        <v>6411</v>
      </c>
      <c r="Z105" s="59">
        <f t="shared" si="25"/>
        <v>6514</v>
      </c>
      <c r="AA105" s="59">
        <f t="shared" si="25"/>
        <v>6598</v>
      </c>
      <c r="AB105" s="59">
        <f t="shared" si="25"/>
        <v>6598</v>
      </c>
      <c r="AC105" s="59">
        <f t="shared" si="25"/>
        <v>6598</v>
      </c>
      <c r="AD105" s="59">
        <f t="shared" si="25"/>
        <v>6598</v>
      </c>
      <c r="AE105" s="59">
        <f t="shared" si="25"/>
        <v>6598</v>
      </c>
      <c r="AF105" s="59">
        <f t="shared" si="25"/>
        <v>6598</v>
      </c>
      <c r="AG105" s="59">
        <f t="shared" si="25"/>
        <v>6598</v>
      </c>
      <c r="AH105" s="59">
        <f t="shared" si="25"/>
        <v>6598</v>
      </c>
      <c r="AI105" s="59">
        <f t="shared" si="25"/>
        <v>6598</v>
      </c>
      <c r="AJ105" s="59">
        <f t="shared" si="25"/>
        <v>6598</v>
      </c>
      <c r="AK105" s="59">
        <f t="shared" si="25"/>
        <v>6598</v>
      </c>
    </row>
    <row r="106" spans="2:37" x14ac:dyDescent="0.25">
      <c r="G106" t="s">
        <v>237</v>
      </c>
      <c r="H106" s="9" t="s">
        <v>1015</v>
      </c>
      <c r="I106" s="59">
        <f t="shared" ref="I106:V106" si="26">J106-J74</f>
        <v>1488</v>
      </c>
      <c r="J106" s="59">
        <f t="shared" si="26"/>
        <v>1502</v>
      </c>
      <c r="K106" s="59">
        <f t="shared" si="26"/>
        <v>1593</v>
      </c>
      <c r="L106" s="59">
        <f t="shared" si="26"/>
        <v>1596</v>
      </c>
      <c r="M106" s="59">
        <f t="shared" si="26"/>
        <v>1658</v>
      </c>
      <c r="N106" s="59">
        <f t="shared" si="26"/>
        <v>1669</v>
      </c>
      <c r="O106" s="59">
        <f t="shared" si="26"/>
        <v>1687</v>
      </c>
      <c r="P106" s="59">
        <f t="shared" si="26"/>
        <v>1745</v>
      </c>
      <c r="Q106" s="59">
        <f t="shared" si="26"/>
        <v>1803</v>
      </c>
      <c r="R106" s="59">
        <f t="shared" si="26"/>
        <v>1824</v>
      </c>
      <c r="S106" s="59">
        <f t="shared" si="26"/>
        <v>1838</v>
      </c>
      <c r="T106" s="59">
        <f t="shared" si="26"/>
        <v>1850</v>
      </c>
      <c r="U106" s="59">
        <f t="shared" si="26"/>
        <v>1864</v>
      </c>
      <c r="V106" s="59">
        <f t="shared" si="26"/>
        <v>1873</v>
      </c>
      <c r="W106" s="59">
        <v>1907</v>
      </c>
      <c r="X106" s="59">
        <f t="shared" ref="X106:AK106" si="27">W106+X74</f>
        <v>1908</v>
      </c>
      <c r="Y106" s="59">
        <f t="shared" si="27"/>
        <v>1939</v>
      </c>
      <c r="Z106" s="59">
        <f t="shared" si="27"/>
        <v>1976</v>
      </c>
      <c r="AA106" s="59">
        <f t="shared" si="27"/>
        <v>2043</v>
      </c>
      <c r="AB106" s="59">
        <f t="shared" si="27"/>
        <v>2043</v>
      </c>
      <c r="AC106" s="59">
        <f t="shared" si="27"/>
        <v>2043</v>
      </c>
      <c r="AD106" s="59">
        <f t="shared" si="27"/>
        <v>2043</v>
      </c>
      <c r="AE106" s="59">
        <f t="shared" si="27"/>
        <v>2043</v>
      </c>
      <c r="AF106" s="59">
        <f t="shared" si="27"/>
        <v>2043</v>
      </c>
      <c r="AG106" s="59">
        <f t="shared" si="27"/>
        <v>2043</v>
      </c>
      <c r="AH106" s="59">
        <f t="shared" si="27"/>
        <v>2043</v>
      </c>
      <c r="AI106" s="59">
        <f t="shared" si="27"/>
        <v>2043</v>
      </c>
      <c r="AJ106" s="59">
        <f t="shared" si="27"/>
        <v>2043</v>
      </c>
      <c r="AK106" s="59">
        <f t="shared" si="27"/>
        <v>2043</v>
      </c>
    </row>
    <row r="107" spans="2:37" x14ac:dyDescent="0.25">
      <c r="G107" t="s">
        <v>238</v>
      </c>
      <c r="H107" s="9" t="s">
        <v>1015</v>
      </c>
      <c r="I107" s="59">
        <f t="shared" ref="I107:V107" si="28">J107-J75</f>
        <v>1104</v>
      </c>
      <c r="J107" s="59">
        <f t="shared" si="28"/>
        <v>1166</v>
      </c>
      <c r="K107" s="59">
        <f t="shared" si="28"/>
        <v>1313</v>
      </c>
      <c r="L107" s="59">
        <f t="shared" si="28"/>
        <v>1375</v>
      </c>
      <c r="M107" s="59">
        <f t="shared" si="28"/>
        <v>1439</v>
      </c>
      <c r="N107" s="59">
        <f t="shared" si="28"/>
        <v>1491</v>
      </c>
      <c r="O107" s="59">
        <f t="shared" si="28"/>
        <v>1507</v>
      </c>
      <c r="P107" s="59">
        <f t="shared" si="28"/>
        <v>1539</v>
      </c>
      <c r="Q107" s="59">
        <f t="shared" si="28"/>
        <v>1555</v>
      </c>
      <c r="R107" s="59">
        <f t="shared" si="28"/>
        <v>1557</v>
      </c>
      <c r="S107" s="59">
        <f t="shared" si="28"/>
        <v>1561</v>
      </c>
      <c r="T107" s="59">
        <f t="shared" si="28"/>
        <v>1564</v>
      </c>
      <c r="U107" s="59">
        <f t="shared" si="28"/>
        <v>1600</v>
      </c>
      <c r="V107" s="59">
        <f t="shared" si="28"/>
        <v>1624</v>
      </c>
      <c r="W107" s="59">
        <v>1639</v>
      </c>
      <c r="X107" s="59">
        <f t="shared" ref="X107:AK107" si="29">W107+X75</f>
        <v>1667</v>
      </c>
      <c r="Y107" s="59">
        <f t="shared" si="29"/>
        <v>1712</v>
      </c>
      <c r="Z107" s="59">
        <f t="shared" si="29"/>
        <v>1790</v>
      </c>
      <c r="AA107" s="59">
        <f t="shared" si="29"/>
        <v>1857</v>
      </c>
      <c r="AB107" s="59">
        <f t="shared" si="29"/>
        <v>1857</v>
      </c>
      <c r="AC107" s="59">
        <f t="shared" si="29"/>
        <v>1857</v>
      </c>
      <c r="AD107" s="59">
        <f t="shared" si="29"/>
        <v>1857</v>
      </c>
      <c r="AE107" s="59">
        <f t="shared" si="29"/>
        <v>1857</v>
      </c>
      <c r="AF107" s="59">
        <f t="shared" si="29"/>
        <v>1857</v>
      </c>
      <c r="AG107" s="59">
        <f t="shared" si="29"/>
        <v>1857</v>
      </c>
      <c r="AH107" s="59">
        <f t="shared" si="29"/>
        <v>1857</v>
      </c>
      <c r="AI107" s="59">
        <f t="shared" si="29"/>
        <v>1857</v>
      </c>
      <c r="AJ107" s="59">
        <f t="shared" si="29"/>
        <v>1857</v>
      </c>
      <c r="AK107" s="59">
        <f t="shared" si="29"/>
        <v>1857</v>
      </c>
    </row>
    <row r="108" spans="2:37" x14ac:dyDescent="0.25">
      <c r="G108" t="s">
        <v>239</v>
      </c>
      <c r="H108" s="9" t="s">
        <v>1018</v>
      </c>
      <c r="I108" s="59">
        <f t="shared" ref="I108:V108" si="30">J108-J76</f>
        <v>569</v>
      </c>
      <c r="J108" s="59">
        <f t="shared" si="30"/>
        <v>589</v>
      </c>
      <c r="K108" s="59">
        <f t="shared" si="30"/>
        <v>612</v>
      </c>
      <c r="L108" s="59">
        <f t="shared" si="30"/>
        <v>632</v>
      </c>
      <c r="M108" s="59">
        <f t="shared" si="30"/>
        <v>649</v>
      </c>
      <c r="N108" s="59">
        <f t="shared" si="30"/>
        <v>671</v>
      </c>
      <c r="O108" s="59">
        <f t="shared" si="30"/>
        <v>685</v>
      </c>
      <c r="P108" s="59">
        <f t="shared" si="30"/>
        <v>712</v>
      </c>
      <c r="Q108" s="59">
        <f t="shared" si="30"/>
        <v>733</v>
      </c>
      <c r="R108" s="59">
        <f t="shared" si="30"/>
        <v>753</v>
      </c>
      <c r="S108" s="59">
        <f t="shared" si="30"/>
        <v>765</v>
      </c>
      <c r="T108" s="59">
        <f t="shared" si="30"/>
        <v>780</v>
      </c>
      <c r="U108" s="59">
        <f t="shared" si="30"/>
        <v>791</v>
      </c>
      <c r="V108" s="59">
        <f t="shared" si="30"/>
        <v>812</v>
      </c>
      <c r="W108" s="59">
        <v>833</v>
      </c>
      <c r="X108" s="59">
        <f t="shared" ref="X108:AK108" si="31">W108+X76</f>
        <v>860</v>
      </c>
      <c r="Y108" s="59">
        <f t="shared" si="31"/>
        <v>884</v>
      </c>
      <c r="Z108" s="59">
        <f t="shared" si="31"/>
        <v>922</v>
      </c>
      <c r="AA108" s="59">
        <f t="shared" si="31"/>
        <v>953</v>
      </c>
      <c r="AB108" s="59">
        <f t="shared" si="31"/>
        <v>953</v>
      </c>
      <c r="AC108" s="59">
        <f t="shared" si="31"/>
        <v>953</v>
      </c>
      <c r="AD108" s="59">
        <f t="shared" si="31"/>
        <v>953</v>
      </c>
      <c r="AE108" s="59">
        <f t="shared" si="31"/>
        <v>953</v>
      </c>
      <c r="AF108" s="59">
        <f t="shared" si="31"/>
        <v>953</v>
      </c>
      <c r="AG108" s="59">
        <f t="shared" si="31"/>
        <v>953</v>
      </c>
      <c r="AH108" s="59">
        <f t="shared" si="31"/>
        <v>953</v>
      </c>
      <c r="AI108" s="59">
        <f t="shared" si="31"/>
        <v>953</v>
      </c>
      <c r="AJ108" s="59">
        <f t="shared" si="31"/>
        <v>953</v>
      </c>
      <c r="AK108" s="59">
        <f t="shared" si="31"/>
        <v>953</v>
      </c>
    </row>
    <row r="109" spans="2:37" x14ac:dyDescent="0.25">
      <c r="G109" t="s">
        <v>240</v>
      </c>
      <c r="H109" s="9" t="s">
        <v>1015</v>
      </c>
      <c r="I109" s="59">
        <f t="shared" ref="I109:V109" si="32">J109-J77</f>
        <v>350</v>
      </c>
      <c r="J109" s="59">
        <f t="shared" si="32"/>
        <v>350</v>
      </c>
      <c r="K109" s="59">
        <f t="shared" si="32"/>
        <v>350</v>
      </c>
      <c r="L109" s="59">
        <f t="shared" si="32"/>
        <v>350</v>
      </c>
      <c r="M109" s="59">
        <f t="shared" si="32"/>
        <v>350</v>
      </c>
      <c r="N109" s="59">
        <f t="shared" si="32"/>
        <v>350</v>
      </c>
      <c r="O109" s="59">
        <f t="shared" si="32"/>
        <v>350</v>
      </c>
      <c r="P109" s="59">
        <f t="shared" si="32"/>
        <v>350</v>
      </c>
      <c r="Q109" s="59">
        <f t="shared" si="32"/>
        <v>350</v>
      </c>
      <c r="R109" s="59">
        <f t="shared" si="32"/>
        <v>350</v>
      </c>
      <c r="S109" s="59">
        <f t="shared" si="32"/>
        <v>350</v>
      </c>
      <c r="T109" s="59">
        <f t="shared" si="32"/>
        <v>350</v>
      </c>
      <c r="U109" s="59">
        <f t="shared" si="32"/>
        <v>350</v>
      </c>
      <c r="V109" s="59">
        <f t="shared" si="32"/>
        <v>350</v>
      </c>
      <c r="W109" s="59">
        <v>350</v>
      </c>
      <c r="X109" s="59">
        <f t="shared" ref="X109:AK109" si="33">W109+X77</f>
        <v>350</v>
      </c>
      <c r="Y109" s="59">
        <f t="shared" si="33"/>
        <v>350</v>
      </c>
      <c r="Z109" s="59">
        <f t="shared" si="33"/>
        <v>350</v>
      </c>
      <c r="AA109" s="59">
        <f t="shared" si="33"/>
        <v>350</v>
      </c>
      <c r="AB109" s="59">
        <f t="shared" si="33"/>
        <v>350</v>
      </c>
      <c r="AC109" s="59">
        <f t="shared" si="33"/>
        <v>350</v>
      </c>
      <c r="AD109" s="59">
        <f t="shared" si="33"/>
        <v>350</v>
      </c>
      <c r="AE109" s="59">
        <f t="shared" si="33"/>
        <v>350</v>
      </c>
      <c r="AF109" s="59">
        <f t="shared" si="33"/>
        <v>350</v>
      </c>
      <c r="AG109" s="59">
        <f t="shared" si="33"/>
        <v>350</v>
      </c>
      <c r="AH109" s="59">
        <f t="shared" si="33"/>
        <v>350</v>
      </c>
      <c r="AI109" s="59">
        <f t="shared" si="33"/>
        <v>350</v>
      </c>
      <c r="AJ109" s="59">
        <f t="shared" si="33"/>
        <v>350</v>
      </c>
      <c r="AK109" s="59">
        <f t="shared" si="33"/>
        <v>350</v>
      </c>
    </row>
    <row r="110" spans="2:37" s="16" customFormat="1" x14ac:dyDescent="0.25">
      <c r="B110" s="17"/>
      <c r="E110" s="16" t="s">
        <v>241</v>
      </c>
      <c r="H110" s="16" t="s">
        <v>1017</v>
      </c>
      <c r="I110" s="61">
        <f t="shared" ref="I110:Z110" si="34">SUM(I111:I113,I115)</f>
        <v>20866123</v>
      </c>
      <c r="J110" s="61">
        <f t="shared" si="34"/>
        <v>21341368</v>
      </c>
      <c r="K110" s="61">
        <f t="shared" si="34"/>
        <v>21997626</v>
      </c>
      <c r="L110" s="61">
        <f t="shared" si="34"/>
        <v>22575806</v>
      </c>
      <c r="M110" s="61">
        <f t="shared" si="34"/>
        <v>23442267</v>
      </c>
      <c r="N110" s="61">
        <f t="shared" si="34"/>
        <v>24090177</v>
      </c>
      <c r="O110" s="61">
        <f t="shared" si="34"/>
        <v>24845059</v>
      </c>
      <c r="P110" s="61">
        <f t="shared" si="34"/>
        <v>25510691</v>
      </c>
      <c r="Q110" s="61">
        <f t="shared" si="34"/>
        <v>26084705</v>
      </c>
      <c r="R110" s="61">
        <f t="shared" si="34"/>
        <v>26324797</v>
      </c>
      <c r="S110" s="61">
        <f t="shared" si="34"/>
        <v>26651960</v>
      </c>
      <c r="T110" s="61">
        <f t="shared" si="34"/>
        <v>26958911</v>
      </c>
      <c r="U110" s="61">
        <f t="shared" si="34"/>
        <v>27376555</v>
      </c>
      <c r="V110" s="61">
        <f t="shared" si="34"/>
        <v>27886264</v>
      </c>
      <c r="W110" s="61">
        <f t="shared" si="34"/>
        <v>28545466</v>
      </c>
      <c r="X110" s="61">
        <f t="shared" si="34"/>
        <v>29165224</v>
      </c>
      <c r="Y110" s="61">
        <f t="shared" si="34"/>
        <v>29783607</v>
      </c>
      <c r="Z110" s="61">
        <f t="shared" si="34"/>
        <v>30584674</v>
      </c>
      <c r="AA110" s="61">
        <f t="shared" ref="AA110:AK110" si="35">SUM(AA111:AA113,AA115)</f>
        <v>31238138</v>
      </c>
      <c r="AB110" s="61">
        <f t="shared" si="35"/>
        <v>31238138</v>
      </c>
      <c r="AC110" s="61">
        <f t="shared" si="35"/>
        <v>31238138</v>
      </c>
      <c r="AD110" s="61">
        <f t="shared" si="35"/>
        <v>31238138</v>
      </c>
      <c r="AE110" s="61">
        <f t="shared" si="35"/>
        <v>31238138</v>
      </c>
      <c r="AF110" s="61">
        <f t="shared" si="35"/>
        <v>31238138</v>
      </c>
      <c r="AG110" s="61">
        <f t="shared" si="35"/>
        <v>31238138</v>
      </c>
      <c r="AH110" s="61">
        <f t="shared" si="35"/>
        <v>31238138</v>
      </c>
      <c r="AI110" s="61">
        <f t="shared" si="35"/>
        <v>31238138</v>
      </c>
      <c r="AJ110" s="61">
        <f t="shared" si="35"/>
        <v>31238138</v>
      </c>
      <c r="AK110" s="61">
        <f t="shared" si="35"/>
        <v>31238138</v>
      </c>
    </row>
    <row r="111" spans="2:37" x14ac:dyDescent="0.25">
      <c r="G111" t="s">
        <v>236</v>
      </c>
      <c r="H111" t="s">
        <v>1017</v>
      </c>
      <c r="I111" s="59">
        <f t="shared" ref="I111:V111" si="36">J111-J79</f>
        <v>17446015</v>
      </c>
      <c r="J111" s="59">
        <f t="shared" si="36"/>
        <v>17842211</v>
      </c>
      <c r="K111" s="59">
        <f t="shared" si="36"/>
        <v>18209522</v>
      </c>
      <c r="L111" s="59">
        <f t="shared" si="36"/>
        <v>18726552</v>
      </c>
      <c r="M111" s="59">
        <f t="shared" si="36"/>
        <v>19415812</v>
      </c>
      <c r="N111" s="59">
        <f t="shared" si="36"/>
        <v>19966623</v>
      </c>
      <c r="O111" s="59">
        <f t="shared" si="36"/>
        <v>20658316</v>
      </c>
      <c r="P111" s="59">
        <f t="shared" si="36"/>
        <v>21219518</v>
      </c>
      <c r="Q111" s="59">
        <f t="shared" si="36"/>
        <v>21710428</v>
      </c>
      <c r="R111" s="59">
        <f t="shared" si="36"/>
        <v>21913833</v>
      </c>
      <c r="S111" s="59">
        <f t="shared" si="36"/>
        <v>22217861</v>
      </c>
      <c r="T111" s="59">
        <f t="shared" si="36"/>
        <v>22502768</v>
      </c>
      <c r="U111" s="59">
        <f t="shared" si="36"/>
        <v>22864052</v>
      </c>
      <c r="V111" s="59">
        <f t="shared" si="36"/>
        <v>23330894</v>
      </c>
      <c r="W111" s="59">
        <v>23914736</v>
      </c>
      <c r="X111" s="59">
        <f t="shared" ref="X111:AK111" si="37">W111+X79</f>
        <v>24505535</v>
      </c>
      <c r="Y111" s="59">
        <f t="shared" si="37"/>
        <v>25043184</v>
      </c>
      <c r="Z111" s="59">
        <f t="shared" si="37"/>
        <v>25651650</v>
      </c>
      <c r="AA111" s="59">
        <f t="shared" si="37"/>
        <v>26181692</v>
      </c>
      <c r="AB111" s="59">
        <f t="shared" si="37"/>
        <v>26181692</v>
      </c>
      <c r="AC111" s="59">
        <f t="shared" si="37"/>
        <v>26181692</v>
      </c>
      <c r="AD111" s="59">
        <f t="shared" si="37"/>
        <v>26181692</v>
      </c>
      <c r="AE111" s="59">
        <f t="shared" si="37"/>
        <v>26181692</v>
      </c>
      <c r="AF111" s="59">
        <f t="shared" si="37"/>
        <v>26181692</v>
      </c>
      <c r="AG111" s="59">
        <f t="shared" si="37"/>
        <v>26181692</v>
      </c>
      <c r="AH111" s="59">
        <f t="shared" si="37"/>
        <v>26181692</v>
      </c>
      <c r="AI111" s="59">
        <f t="shared" si="37"/>
        <v>26181692</v>
      </c>
      <c r="AJ111" s="59">
        <f t="shared" si="37"/>
        <v>26181692</v>
      </c>
      <c r="AK111" s="59">
        <f t="shared" si="37"/>
        <v>26181692</v>
      </c>
    </row>
    <row r="112" spans="2:37" x14ac:dyDescent="0.25">
      <c r="G112" t="s">
        <v>237</v>
      </c>
      <c r="H112" t="s">
        <v>1017</v>
      </c>
      <c r="I112" s="59">
        <f t="shared" ref="I112:V112" si="38">J112-J80</f>
        <v>2027292</v>
      </c>
      <c r="J112" s="59">
        <f t="shared" si="38"/>
        <v>2046684</v>
      </c>
      <c r="K112" s="59">
        <f t="shared" si="38"/>
        <v>2205773</v>
      </c>
      <c r="L112" s="59">
        <f t="shared" si="38"/>
        <v>2220143</v>
      </c>
      <c r="M112" s="59">
        <f t="shared" si="38"/>
        <v>2321262</v>
      </c>
      <c r="N112" s="59">
        <f t="shared" si="38"/>
        <v>2364682</v>
      </c>
      <c r="O112" s="59">
        <f t="shared" si="38"/>
        <v>2411035</v>
      </c>
      <c r="P112" s="59">
        <f t="shared" si="38"/>
        <v>2499768</v>
      </c>
      <c r="Q112" s="59">
        <f t="shared" si="38"/>
        <v>2569957</v>
      </c>
      <c r="R112" s="59">
        <f t="shared" si="38"/>
        <v>2604342</v>
      </c>
      <c r="S112" s="59">
        <f t="shared" si="38"/>
        <v>2618862</v>
      </c>
      <c r="T112" s="59">
        <f t="shared" si="38"/>
        <v>2639442</v>
      </c>
      <c r="U112" s="59">
        <f t="shared" si="38"/>
        <v>2659820</v>
      </c>
      <c r="V112" s="59">
        <f t="shared" si="38"/>
        <v>2677899</v>
      </c>
      <c r="W112" s="59">
        <v>2736576</v>
      </c>
      <c r="X112" s="59">
        <f t="shared" ref="X112:AK112" si="39">W112+X80</f>
        <v>2737594</v>
      </c>
      <c r="Y112" s="59">
        <f t="shared" si="39"/>
        <v>2784715</v>
      </c>
      <c r="Z112" s="59">
        <f t="shared" si="39"/>
        <v>2873200</v>
      </c>
      <c r="AA112" s="59">
        <f t="shared" si="39"/>
        <v>2934090</v>
      </c>
      <c r="AB112" s="59">
        <f t="shared" si="39"/>
        <v>2934090</v>
      </c>
      <c r="AC112" s="59">
        <f t="shared" si="39"/>
        <v>2934090</v>
      </c>
      <c r="AD112" s="59">
        <f t="shared" si="39"/>
        <v>2934090</v>
      </c>
      <c r="AE112" s="59">
        <f t="shared" si="39"/>
        <v>2934090</v>
      </c>
      <c r="AF112" s="59">
        <f t="shared" si="39"/>
        <v>2934090</v>
      </c>
      <c r="AG112" s="59">
        <f t="shared" si="39"/>
        <v>2934090</v>
      </c>
      <c r="AH112" s="59">
        <f t="shared" si="39"/>
        <v>2934090</v>
      </c>
      <c r="AI112" s="59">
        <f t="shared" si="39"/>
        <v>2934090</v>
      </c>
      <c r="AJ112" s="59">
        <f t="shared" si="39"/>
        <v>2934090</v>
      </c>
      <c r="AK112" s="59">
        <f t="shared" si="39"/>
        <v>2934090</v>
      </c>
    </row>
    <row r="113" spans="2:37" x14ac:dyDescent="0.25">
      <c r="G113" t="s">
        <v>238</v>
      </c>
      <c r="H113" t="s">
        <v>1017</v>
      </c>
      <c r="I113" s="59">
        <f t="shared" ref="I113:V113" si="40">J113-J81</f>
        <v>853536</v>
      </c>
      <c r="J113" s="59">
        <f t="shared" si="40"/>
        <v>913193</v>
      </c>
      <c r="K113" s="59">
        <f t="shared" si="40"/>
        <v>1043051</v>
      </c>
      <c r="L113" s="59">
        <f t="shared" si="40"/>
        <v>1089831</v>
      </c>
      <c r="M113" s="59">
        <f t="shared" si="40"/>
        <v>1165817</v>
      </c>
      <c r="N113" s="59">
        <f t="shared" si="40"/>
        <v>1219496</v>
      </c>
      <c r="O113" s="59">
        <f t="shared" si="40"/>
        <v>1236332</v>
      </c>
      <c r="P113" s="59">
        <f t="shared" si="40"/>
        <v>1252029</v>
      </c>
      <c r="Q113" s="59">
        <f t="shared" si="40"/>
        <v>1264944</v>
      </c>
      <c r="R113" s="59">
        <f t="shared" si="40"/>
        <v>1267246</v>
      </c>
      <c r="S113" s="59">
        <f t="shared" si="40"/>
        <v>1275861</v>
      </c>
      <c r="T113" s="59">
        <f t="shared" si="40"/>
        <v>1277325</v>
      </c>
      <c r="U113" s="59">
        <f t="shared" si="40"/>
        <v>1313227</v>
      </c>
      <c r="V113" s="59">
        <f t="shared" si="40"/>
        <v>1338015</v>
      </c>
      <c r="W113" s="59">
        <v>1354698</v>
      </c>
      <c r="X113" s="59">
        <f t="shared" ref="X113:AK113" si="41">W113+X81</f>
        <v>1382639</v>
      </c>
      <c r="Y113" s="59">
        <f t="shared" si="41"/>
        <v>1416252</v>
      </c>
      <c r="Z113" s="59">
        <f t="shared" si="41"/>
        <v>1520368</v>
      </c>
      <c r="AA113" s="59">
        <f t="shared" si="41"/>
        <v>1582900</v>
      </c>
      <c r="AB113" s="59">
        <f t="shared" si="41"/>
        <v>1582900</v>
      </c>
      <c r="AC113" s="59">
        <f t="shared" si="41"/>
        <v>1582900</v>
      </c>
      <c r="AD113" s="59">
        <f t="shared" si="41"/>
        <v>1582900</v>
      </c>
      <c r="AE113" s="59">
        <f t="shared" si="41"/>
        <v>1582900</v>
      </c>
      <c r="AF113" s="59">
        <f t="shared" si="41"/>
        <v>1582900</v>
      </c>
      <c r="AG113" s="59">
        <f t="shared" si="41"/>
        <v>1582900</v>
      </c>
      <c r="AH113" s="59">
        <f t="shared" si="41"/>
        <v>1582900</v>
      </c>
      <c r="AI113" s="59">
        <f t="shared" si="41"/>
        <v>1582900</v>
      </c>
      <c r="AJ113" s="59">
        <f t="shared" si="41"/>
        <v>1582900</v>
      </c>
      <c r="AK113" s="59">
        <f t="shared" si="41"/>
        <v>1582900</v>
      </c>
    </row>
    <row r="114" spans="2:37" x14ac:dyDescent="0.25">
      <c r="G114" t="s">
        <v>239</v>
      </c>
      <c r="H114" t="s">
        <v>1017</v>
      </c>
      <c r="I114" s="59">
        <f t="shared" ref="I114:V114" si="42">J114-J82</f>
        <v>578445</v>
      </c>
      <c r="J114" s="59">
        <f t="shared" si="42"/>
        <v>595234</v>
      </c>
      <c r="K114" s="59">
        <f t="shared" si="42"/>
        <v>614555</v>
      </c>
      <c r="L114" s="59">
        <f t="shared" si="42"/>
        <v>631178</v>
      </c>
      <c r="M114" s="59">
        <f t="shared" si="42"/>
        <v>645151</v>
      </c>
      <c r="N114" s="59">
        <f t="shared" si="42"/>
        <v>664723</v>
      </c>
      <c r="O114" s="59">
        <f t="shared" si="42"/>
        <v>676675</v>
      </c>
      <c r="P114" s="59">
        <f t="shared" si="42"/>
        <v>698153</v>
      </c>
      <c r="Q114" s="59">
        <f t="shared" si="42"/>
        <v>716226</v>
      </c>
      <c r="R114" s="59">
        <f t="shared" si="42"/>
        <v>731556</v>
      </c>
      <c r="S114" s="59">
        <f t="shared" si="42"/>
        <v>740291</v>
      </c>
      <c r="T114" s="59">
        <f t="shared" si="42"/>
        <v>754827</v>
      </c>
      <c r="U114" s="59">
        <f t="shared" si="42"/>
        <v>762835</v>
      </c>
      <c r="V114" s="59">
        <f t="shared" si="42"/>
        <v>781616</v>
      </c>
      <c r="W114" s="59">
        <v>801962</v>
      </c>
      <c r="X114" s="59">
        <f t="shared" ref="X114:AK114" si="43">W114+X82</f>
        <v>830407</v>
      </c>
      <c r="Y114" s="59">
        <f t="shared" si="43"/>
        <v>850920</v>
      </c>
      <c r="Z114" s="59">
        <f t="shared" si="43"/>
        <v>883797</v>
      </c>
      <c r="AA114" s="59">
        <f t="shared" si="43"/>
        <v>913435</v>
      </c>
      <c r="AB114" s="59">
        <f t="shared" si="43"/>
        <v>913435</v>
      </c>
      <c r="AC114" s="59">
        <f t="shared" si="43"/>
        <v>913435</v>
      </c>
      <c r="AD114" s="59">
        <f t="shared" si="43"/>
        <v>913435</v>
      </c>
      <c r="AE114" s="59">
        <f t="shared" si="43"/>
        <v>913435</v>
      </c>
      <c r="AF114" s="59">
        <f t="shared" si="43"/>
        <v>913435</v>
      </c>
      <c r="AG114" s="59">
        <f t="shared" si="43"/>
        <v>913435</v>
      </c>
      <c r="AH114" s="59">
        <f t="shared" si="43"/>
        <v>913435</v>
      </c>
      <c r="AI114" s="59">
        <f t="shared" si="43"/>
        <v>913435</v>
      </c>
      <c r="AJ114" s="59">
        <f t="shared" si="43"/>
        <v>913435</v>
      </c>
      <c r="AK114" s="59">
        <f t="shared" si="43"/>
        <v>913435</v>
      </c>
    </row>
    <row r="115" spans="2:37" x14ac:dyDescent="0.25">
      <c r="G115" t="s">
        <v>240</v>
      </c>
      <c r="H115" t="s">
        <v>1017</v>
      </c>
      <c r="I115" s="59">
        <f t="shared" ref="I115:V115" si="44">J115-J83</f>
        <v>539280</v>
      </c>
      <c r="J115" s="59">
        <f t="shared" si="44"/>
        <v>539280</v>
      </c>
      <c r="K115" s="59">
        <f t="shared" si="44"/>
        <v>539280</v>
      </c>
      <c r="L115" s="59">
        <f t="shared" si="44"/>
        <v>539280</v>
      </c>
      <c r="M115" s="59">
        <f t="shared" si="44"/>
        <v>539376</v>
      </c>
      <c r="N115" s="59">
        <f t="shared" si="44"/>
        <v>539376</v>
      </c>
      <c r="O115" s="59">
        <f t="shared" si="44"/>
        <v>539376</v>
      </c>
      <c r="P115" s="59">
        <f t="shared" si="44"/>
        <v>539376</v>
      </c>
      <c r="Q115" s="59">
        <f t="shared" si="44"/>
        <v>539376</v>
      </c>
      <c r="R115" s="59">
        <f t="shared" si="44"/>
        <v>539376</v>
      </c>
      <c r="S115" s="59">
        <f t="shared" si="44"/>
        <v>539376</v>
      </c>
      <c r="T115" s="59">
        <f t="shared" si="44"/>
        <v>539376</v>
      </c>
      <c r="U115" s="59">
        <f t="shared" si="44"/>
        <v>539456</v>
      </c>
      <c r="V115" s="59">
        <f t="shared" si="44"/>
        <v>539456</v>
      </c>
      <c r="W115" s="59">
        <v>539456</v>
      </c>
      <c r="X115" s="59">
        <f t="shared" ref="X115:AK115" si="45">W115+X83</f>
        <v>539456</v>
      </c>
      <c r="Y115" s="59">
        <f t="shared" si="45"/>
        <v>539456</v>
      </c>
      <c r="Z115" s="59">
        <f t="shared" si="45"/>
        <v>539456</v>
      </c>
      <c r="AA115" s="59">
        <f t="shared" si="45"/>
        <v>539456</v>
      </c>
      <c r="AB115" s="59">
        <f t="shared" si="45"/>
        <v>539456</v>
      </c>
      <c r="AC115" s="59">
        <f t="shared" si="45"/>
        <v>539456</v>
      </c>
      <c r="AD115" s="59">
        <f t="shared" si="45"/>
        <v>539456</v>
      </c>
      <c r="AE115" s="59">
        <f t="shared" si="45"/>
        <v>539456</v>
      </c>
      <c r="AF115" s="59">
        <f t="shared" si="45"/>
        <v>539456</v>
      </c>
      <c r="AG115" s="59">
        <f t="shared" si="45"/>
        <v>539456</v>
      </c>
      <c r="AH115" s="59">
        <f t="shared" si="45"/>
        <v>539456</v>
      </c>
      <c r="AI115" s="59">
        <f t="shared" si="45"/>
        <v>539456</v>
      </c>
      <c r="AJ115" s="59">
        <f t="shared" si="45"/>
        <v>539456</v>
      </c>
      <c r="AK115" s="59">
        <f t="shared" si="45"/>
        <v>539456</v>
      </c>
    </row>
    <row r="116" spans="2:37" s="13" customFormat="1" x14ac:dyDescent="0.25">
      <c r="B116" s="14"/>
      <c r="D116" s="13" t="s">
        <v>1079</v>
      </c>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row>
    <row r="117" spans="2:37" x14ac:dyDescent="0.25">
      <c r="E117" s="16" t="s">
        <v>38</v>
      </c>
      <c r="F117" s="16"/>
      <c r="G117" s="16"/>
      <c r="H117" s="16" t="s">
        <v>1016</v>
      </c>
      <c r="I117" s="61">
        <f t="shared" ref="I117:Z117" si="46">SUM(I118:I119)</f>
        <v>5434</v>
      </c>
      <c r="J117" s="61">
        <f t="shared" si="46"/>
        <v>5473</v>
      </c>
      <c r="K117" s="61">
        <f t="shared" si="46"/>
        <v>5522</v>
      </c>
      <c r="L117" s="61">
        <f t="shared" si="46"/>
        <v>5608</v>
      </c>
      <c r="M117" s="61">
        <f t="shared" si="46"/>
        <v>5696</v>
      </c>
      <c r="N117" s="61">
        <f t="shared" si="46"/>
        <v>5750</v>
      </c>
      <c r="O117" s="61">
        <f t="shared" si="46"/>
        <v>5776</v>
      </c>
      <c r="P117" s="61">
        <f t="shared" si="46"/>
        <v>5803</v>
      </c>
      <c r="Q117" s="61">
        <f t="shared" si="46"/>
        <v>5838</v>
      </c>
      <c r="R117" s="61">
        <f t="shared" si="46"/>
        <v>5839</v>
      </c>
      <c r="S117" s="61">
        <f t="shared" si="46"/>
        <v>5865</v>
      </c>
      <c r="T117" s="61">
        <f t="shared" si="46"/>
        <v>5865</v>
      </c>
      <c r="U117" s="61">
        <f t="shared" si="46"/>
        <v>5922</v>
      </c>
      <c r="V117" s="61">
        <f t="shared" si="46"/>
        <v>5922</v>
      </c>
      <c r="W117" s="61">
        <f t="shared" si="46"/>
        <v>5922</v>
      </c>
      <c r="X117" s="61">
        <f t="shared" si="46"/>
        <v>6052</v>
      </c>
      <c r="Y117" s="61">
        <f t="shared" si="46"/>
        <v>6158</v>
      </c>
      <c r="Z117" s="61">
        <f t="shared" si="46"/>
        <v>6161</v>
      </c>
      <c r="AA117" s="61">
        <f t="shared" ref="AA117:AK117" si="47">SUM(AA118:AA119)</f>
        <v>6199</v>
      </c>
      <c r="AB117" s="61">
        <f t="shared" si="47"/>
        <v>6199</v>
      </c>
      <c r="AC117" s="61">
        <f t="shared" si="47"/>
        <v>6199</v>
      </c>
      <c r="AD117" s="61">
        <f t="shared" si="47"/>
        <v>6199</v>
      </c>
      <c r="AE117" s="61">
        <f t="shared" si="47"/>
        <v>6199</v>
      </c>
      <c r="AF117" s="61">
        <f t="shared" si="47"/>
        <v>6199</v>
      </c>
      <c r="AG117" s="61">
        <f t="shared" si="47"/>
        <v>6199</v>
      </c>
      <c r="AH117" s="61">
        <f t="shared" si="47"/>
        <v>6199</v>
      </c>
      <c r="AI117" s="61">
        <f t="shared" si="47"/>
        <v>6199</v>
      </c>
      <c r="AJ117" s="61">
        <f t="shared" si="47"/>
        <v>6199</v>
      </c>
      <c r="AK117" s="61">
        <f t="shared" si="47"/>
        <v>6199</v>
      </c>
    </row>
    <row r="118" spans="2:37" x14ac:dyDescent="0.25">
      <c r="G118" t="s">
        <v>243</v>
      </c>
      <c r="H118" t="s">
        <v>1016</v>
      </c>
      <c r="I118" s="59">
        <f t="shared" ref="I118:V118" si="48">J118-J86</f>
        <v>5434</v>
      </c>
      <c r="J118" s="59">
        <f t="shared" si="48"/>
        <v>5473</v>
      </c>
      <c r="K118" s="59">
        <f t="shared" si="48"/>
        <v>5522</v>
      </c>
      <c r="L118" s="59">
        <f t="shared" si="48"/>
        <v>5608</v>
      </c>
      <c r="M118" s="59">
        <f t="shared" si="48"/>
        <v>5696</v>
      </c>
      <c r="N118" s="59">
        <f t="shared" si="48"/>
        <v>5750</v>
      </c>
      <c r="O118" s="59">
        <f t="shared" si="48"/>
        <v>5776</v>
      </c>
      <c r="P118" s="59">
        <f t="shared" si="48"/>
        <v>5803</v>
      </c>
      <c r="Q118" s="59">
        <f t="shared" si="48"/>
        <v>5838</v>
      </c>
      <c r="R118" s="59">
        <f t="shared" si="48"/>
        <v>5839</v>
      </c>
      <c r="S118" s="59">
        <f t="shared" si="48"/>
        <v>5865</v>
      </c>
      <c r="T118" s="59">
        <f t="shared" si="48"/>
        <v>5865</v>
      </c>
      <c r="U118" s="59">
        <f t="shared" si="48"/>
        <v>5922</v>
      </c>
      <c r="V118" s="59">
        <f t="shared" si="48"/>
        <v>5922</v>
      </c>
      <c r="W118" s="59">
        <v>5922</v>
      </c>
      <c r="X118" s="59">
        <f t="shared" ref="X118:AK118" si="49">W118+X86</f>
        <v>6052</v>
      </c>
      <c r="Y118" s="59">
        <f t="shared" si="49"/>
        <v>6158</v>
      </c>
      <c r="Z118" s="59">
        <f t="shared" si="49"/>
        <v>6161</v>
      </c>
      <c r="AA118" s="59">
        <f t="shared" si="49"/>
        <v>6199</v>
      </c>
      <c r="AB118" s="59">
        <f t="shared" si="49"/>
        <v>6199</v>
      </c>
      <c r="AC118" s="59">
        <f t="shared" si="49"/>
        <v>6199</v>
      </c>
      <c r="AD118" s="59">
        <f t="shared" si="49"/>
        <v>6199</v>
      </c>
      <c r="AE118" s="59">
        <f t="shared" si="49"/>
        <v>6199</v>
      </c>
      <c r="AF118" s="59">
        <f t="shared" si="49"/>
        <v>6199</v>
      </c>
      <c r="AG118" s="59">
        <f t="shared" si="49"/>
        <v>6199</v>
      </c>
      <c r="AH118" s="59">
        <f t="shared" si="49"/>
        <v>6199</v>
      </c>
      <c r="AI118" s="59">
        <f t="shared" si="49"/>
        <v>6199</v>
      </c>
      <c r="AJ118" s="59">
        <f t="shared" si="49"/>
        <v>6199</v>
      </c>
      <c r="AK118" s="59">
        <f t="shared" si="49"/>
        <v>6199</v>
      </c>
    </row>
    <row r="119" spans="2:37" x14ac:dyDescent="0.25">
      <c r="G119" t="s">
        <v>244</v>
      </c>
      <c r="H119" t="s">
        <v>1016</v>
      </c>
      <c r="I119" s="59">
        <f t="shared" ref="I119:Q119" si="50">J119-J87</f>
        <v>0</v>
      </c>
      <c r="J119" s="59">
        <f t="shared" si="50"/>
        <v>0</v>
      </c>
      <c r="K119" s="59">
        <f t="shared" si="50"/>
        <v>0</v>
      </c>
      <c r="L119" s="59">
        <f t="shared" si="50"/>
        <v>0</v>
      </c>
      <c r="M119" s="59">
        <f t="shared" si="50"/>
        <v>0</v>
      </c>
      <c r="N119" s="59">
        <f t="shared" si="50"/>
        <v>0</v>
      </c>
      <c r="O119" s="59">
        <f t="shared" si="50"/>
        <v>0</v>
      </c>
      <c r="P119" s="59">
        <f t="shared" si="50"/>
        <v>0</v>
      </c>
      <c r="Q119" s="59">
        <f t="shared" si="50"/>
        <v>0</v>
      </c>
      <c r="R119" s="137"/>
      <c r="S119" s="59">
        <f>R119+S87</f>
        <v>0</v>
      </c>
      <c r="T119" s="59">
        <f>S119+T87</f>
        <v>0</v>
      </c>
      <c r="U119" s="59">
        <f>T119+U87</f>
        <v>0</v>
      </c>
      <c r="V119" s="59">
        <f>U119+V87</f>
        <v>0</v>
      </c>
      <c r="W119" s="59">
        <f>V119+W87</f>
        <v>0</v>
      </c>
      <c r="X119" s="59">
        <f t="shared" ref="X119:AK119" si="51">W119+X87</f>
        <v>0</v>
      </c>
      <c r="Y119" s="59">
        <f t="shared" si="51"/>
        <v>0</v>
      </c>
      <c r="Z119" s="59">
        <f t="shared" si="51"/>
        <v>0</v>
      </c>
      <c r="AA119" s="59">
        <f t="shared" si="51"/>
        <v>0</v>
      </c>
      <c r="AB119" s="59">
        <f t="shared" si="51"/>
        <v>0</v>
      </c>
      <c r="AC119" s="59">
        <f t="shared" si="51"/>
        <v>0</v>
      </c>
      <c r="AD119" s="59">
        <f t="shared" si="51"/>
        <v>0</v>
      </c>
      <c r="AE119" s="59">
        <f t="shared" si="51"/>
        <v>0</v>
      </c>
      <c r="AF119" s="59">
        <f t="shared" si="51"/>
        <v>0</v>
      </c>
      <c r="AG119" s="59">
        <f t="shared" si="51"/>
        <v>0</v>
      </c>
      <c r="AH119" s="59">
        <f t="shared" si="51"/>
        <v>0</v>
      </c>
      <c r="AI119" s="59">
        <f t="shared" si="51"/>
        <v>0</v>
      </c>
      <c r="AJ119" s="59">
        <f t="shared" si="51"/>
        <v>0</v>
      </c>
      <c r="AK119" s="59">
        <f t="shared" si="51"/>
        <v>0</v>
      </c>
    </row>
    <row r="120" spans="2:37" x14ac:dyDescent="0.25">
      <c r="E120" s="16" t="s">
        <v>242</v>
      </c>
      <c r="F120" s="16"/>
      <c r="G120" s="16"/>
      <c r="H120" s="16" t="s">
        <v>1017</v>
      </c>
      <c r="I120" s="61">
        <f t="shared" ref="I120:Z120" si="52">SUM(I121:I122)</f>
        <v>4738102</v>
      </c>
      <c r="J120" s="61">
        <f t="shared" si="52"/>
        <v>4790627</v>
      </c>
      <c r="K120" s="61">
        <f t="shared" si="52"/>
        <v>4817075</v>
      </c>
      <c r="L120" s="61">
        <f t="shared" si="52"/>
        <v>4981791</v>
      </c>
      <c r="M120" s="61">
        <f t="shared" si="52"/>
        <v>5047990</v>
      </c>
      <c r="N120" s="61">
        <f t="shared" si="52"/>
        <v>5129674</v>
      </c>
      <c r="O120" s="61">
        <f t="shared" si="52"/>
        <v>5177821</v>
      </c>
      <c r="P120" s="61">
        <f t="shared" si="52"/>
        <v>5226180</v>
      </c>
      <c r="Q120" s="61">
        <f t="shared" si="52"/>
        <v>5272416</v>
      </c>
      <c r="R120" s="61">
        <f t="shared" si="52"/>
        <v>5273936</v>
      </c>
      <c r="S120" s="61">
        <f t="shared" si="52"/>
        <v>5292835</v>
      </c>
      <c r="T120" s="61">
        <f t="shared" si="52"/>
        <v>5293249</v>
      </c>
      <c r="U120" s="61">
        <f t="shared" si="52"/>
        <v>5349501</v>
      </c>
      <c r="V120" s="61">
        <f t="shared" si="52"/>
        <v>5348358</v>
      </c>
      <c r="W120" s="61">
        <f t="shared" si="52"/>
        <v>5347053</v>
      </c>
      <c r="X120" s="61">
        <f t="shared" si="52"/>
        <v>5475454</v>
      </c>
      <c r="Y120" s="61">
        <f t="shared" si="52"/>
        <v>5519287</v>
      </c>
      <c r="Z120" s="61">
        <f t="shared" si="52"/>
        <v>5521411</v>
      </c>
      <c r="AA120" s="61">
        <f t="shared" ref="AA120:AK120" si="53">SUM(AA121:AA122)</f>
        <v>5556589</v>
      </c>
      <c r="AB120" s="61">
        <f t="shared" si="53"/>
        <v>5556589</v>
      </c>
      <c r="AC120" s="61">
        <f t="shared" si="53"/>
        <v>5556589</v>
      </c>
      <c r="AD120" s="61">
        <f t="shared" si="53"/>
        <v>5556589</v>
      </c>
      <c r="AE120" s="61">
        <f t="shared" si="53"/>
        <v>5556589</v>
      </c>
      <c r="AF120" s="61">
        <f t="shared" si="53"/>
        <v>5556589</v>
      </c>
      <c r="AG120" s="61">
        <f t="shared" si="53"/>
        <v>5556589</v>
      </c>
      <c r="AH120" s="61">
        <f t="shared" si="53"/>
        <v>5556589</v>
      </c>
      <c r="AI120" s="61">
        <f t="shared" si="53"/>
        <v>5556589</v>
      </c>
      <c r="AJ120" s="61">
        <f t="shared" si="53"/>
        <v>5556589</v>
      </c>
      <c r="AK120" s="61">
        <f t="shared" si="53"/>
        <v>5556589</v>
      </c>
    </row>
    <row r="121" spans="2:37" x14ac:dyDescent="0.25">
      <c r="G121" t="s">
        <v>243</v>
      </c>
      <c r="H121" t="s">
        <v>1017</v>
      </c>
      <c r="I121" s="59">
        <f t="shared" ref="I121:V121" si="54">J121-J89</f>
        <v>4738102</v>
      </c>
      <c r="J121" s="59">
        <f t="shared" si="54"/>
        <v>4790627</v>
      </c>
      <c r="K121" s="59">
        <f t="shared" si="54"/>
        <v>4817075</v>
      </c>
      <c r="L121" s="59">
        <f t="shared" si="54"/>
        <v>4981791</v>
      </c>
      <c r="M121" s="59">
        <f t="shared" si="54"/>
        <v>5047990</v>
      </c>
      <c r="N121" s="59">
        <f t="shared" si="54"/>
        <v>5129674</v>
      </c>
      <c r="O121" s="59">
        <f t="shared" si="54"/>
        <v>5177821</v>
      </c>
      <c r="P121" s="59">
        <f t="shared" si="54"/>
        <v>5226180</v>
      </c>
      <c r="Q121" s="59">
        <f t="shared" si="54"/>
        <v>5272416</v>
      </c>
      <c r="R121" s="59">
        <f t="shared" si="54"/>
        <v>5273936</v>
      </c>
      <c r="S121" s="59">
        <f t="shared" si="54"/>
        <v>5292835</v>
      </c>
      <c r="T121" s="59">
        <f t="shared" si="54"/>
        <v>5293249</v>
      </c>
      <c r="U121" s="59">
        <f t="shared" si="54"/>
        <v>5349501</v>
      </c>
      <c r="V121" s="59">
        <f t="shared" si="54"/>
        <v>5348358</v>
      </c>
      <c r="W121" s="59">
        <v>5347053</v>
      </c>
      <c r="X121" s="59">
        <f t="shared" ref="X121:AK121" si="55">W121+X89</f>
        <v>5475454</v>
      </c>
      <c r="Y121" s="59">
        <f t="shared" si="55"/>
        <v>5519287</v>
      </c>
      <c r="Z121" s="59">
        <f t="shared" si="55"/>
        <v>5521411</v>
      </c>
      <c r="AA121" s="59">
        <f t="shared" si="55"/>
        <v>5556589</v>
      </c>
      <c r="AB121" s="59">
        <f t="shared" si="55"/>
        <v>5556589</v>
      </c>
      <c r="AC121" s="59">
        <f t="shared" si="55"/>
        <v>5556589</v>
      </c>
      <c r="AD121" s="59">
        <f t="shared" si="55"/>
        <v>5556589</v>
      </c>
      <c r="AE121" s="59">
        <f t="shared" si="55"/>
        <v>5556589</v>
      </c>
      <c r="AF121" s="59">
        <f t="shared" si="55"/>
        <v>5556589</v>
      </c>
      <c r="AG121" s="59">
        <f t="shared" si="55"/>
        <v>5556589</v>
      </c>
      <c r="AH121" s="59">
        <f t="shared" si="55"/>
        <v>5556589</v>
      </c>
      <c r="AI121" s="59">
        <f t="shared" si="55"/>
        <v>5556589</v>
      </c>
      <c r="AJ121" s="59">
        <f t="shared" si="55"/>
        <v>5556589</v>
      </c>
      <c r="AK121" s="59">
        <f t="shared" si="55"/>
        <v>5556589</v>
      </c>
    </row>
    <row r="122" spans="2:37" x14ac:dyDescent="0.25">
      <c r="G122" t="s">
        <v>244</v>
      </c>
      <c r="H122" t="s">
        <v>1017</v>
      </c>
      <c r="I122" s="59">
        <f t="shared" ref="I122:Q122" si="56">J122-J90</f>
        <v>0</v>
      </c>
      <c r="J122" s="59">
        <f t="shared" si="56"/>
        <v>0</v>
      </c>
      <c r="K122" s="59">
        <f t="shared" si="56"/>
        <v>0</v>
      </c>
      <c r="L122" s="59">
        <f t="shared" si="56"/>
        <v>0</v>
      </c>
      <c r="M122" s="59">
        <f t="shared" si="56"/>
        <v>0</v>
      </c>
      <c r="N122" s="59">
        <f t="shared" si="56"/>
        <v>0</v>
      </c>
      <c r="O122" s="59">
        <f t="shared" si="56"/>
        <v>0</v>
      </c>
      <c r="P122" s="59">
        <f t="shared" si="56"/>
        <v>0</v>
      </c>
      <c r="Q122" s="59">
        <f t="shared" si="56"/>
        <v>0</v>
      </c>
      <c r="R122" s="137"/>
      <c r="S122" s="59">
        <f>R122+S90</f>
        <v>0</v>
      </c>
      <c r="T122" s="59">
        <f>S122+T90</f>
        <v>0</v>
      </c>
      <c r="U122" s="59">
        <f>T122+U90</f>
        <v>0</v>
      </c>
      <c r="V122" s="59">
        <f>U122+V90</f>
        <v>0</v>
      </c>
      <c r="W122" s="59">
        <f>V122+W90</f>
        <v>0</v>
      </c>
      <c r="X122" s="59">
        <f t="shared" ref="X122:AK122" si="57">W122+X90</f>
        <v>0</v>
      </c>
      <c r="Y122" s="59">
        <f t="shared" si="57"/>
        <v>0</v>
      </c>
      <c r="Z122" s="59">
        <f t="shared" si="57"/>
        <v>0</v>
      </c>
      <c r="AA122" s="59">
        <f t="shared" si="57"/>
        <v>0</v>
      </c>
      <c r="AB122" s="59">
        <f t="shared" si="57"/>
        <v>0</v>
      </c>
      <c r="AC122" s="59">
        <f t="shared" si="57"/>
        <v>0</v>
      </c>
      <c r="AD122" s="59">
        <f t="shared" si="57"/>
        <v>0</v>
      </c>
      <c r="AE122" s="59">
        <f t="shared" si="57"/>
        <v>0</v>
      </c>
      <c r="AF122" s="59">
        <f t="shared" si="57"/>
        <v>0</v>
      </c>
      <c r="AG122" s="59">
        <f t="shared" si="57"/>
        <v>0</v>
      </c>
      <c r="AH122" s="59">
        <f t="shared" si="57"/>
        <v>0</v>
      </c>
      <c r="AI122" s="59">
        <f t="shared" si="57"/>
        <v>0</v>
      </c>
      <c r="AJ122" s="59">
        <f t="shared" si="57"/>
        <v>0</v>
      </c>
      <c r="AK122" s="59">
        <f t="shared" si="57"/>
        <v>0</v>
      </c>
    </row>
    <row r="123" spans="2:37" s="13" customFormat="1" x14ac:dyDescent="0.25">
      <c r="B123" s="14"/>
      <c r="D123" s="13" t="s">
        <v>1080</v>
      </c>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row>
    <row r="124" spans="2:37" s="16" customFormat="1" x14ac:dyDescent="0.25">
      <c r="B124" s="17"/>
      <c r="E124" s="16" t="s">
        <v>245</v>
      </c>
      <c r="H124" s="16" t="s">
        <v>1017</v>
      </c>
      <c r="I124" s="61">
        <f t="shared" ref="I124:Z124" si="58">SUM(I126,I128,I129,I130:I133)</f>
        <v>6381070</v>
      </c>
      <c r="J124" s="61">
        <f t="shared" si="58"/>
        <v>6569096</v>
      </c>
      <c r="K124" s="61">
        <f t="shared" si="58"/>
        <v>6770348</v>
      </c>
      <c r="L124" s="61">
        <f t="shared" si="58"/>
        <v>6898667</v>
      </c>
      <c r="M124" s="61">
        <f t="shared" si="58"/>
        <v>7159503</v>
      </c>
      <c r="N124" s="61">
        <f t="shared" si="58"/>
        <v>7509231</v>
      </c>
      <c r="O124" s="61">
        <f t="shared" si="58"/>
        <v>7589025</v>
      </c>
      <c r="P124" s="61">
        <f t="shared" si="58"/>
        <v>7773815</v>
      </c>
      <c r="Q124" s="61">
        <f t="shared" si="58"/>
        <v>7851727</v>
      </c>
      <c r="R124" s="61">
        <f t="shared" si="58"/>
        <v>7918691</v>
      </c>
      <c r="S124" s="61">
        <f t="shared" si="58"/>
        <v>7975206</v>
      </c>
      <c r="T124" s="61">
        <f t="shared" si="58"/>
        <v>8020287</v>
      </c>
      <c r="U124" s="61">
        <f t="shared" si="58"/>
        <v>8139211</v>
      </c>
      <c r="V124" s="61">
        <f t="shared" si="58"/>
        <v>8192437</v>
      </c>
      <c r="W124" s="61">
        <f t="shared" si="58"/>
        <v>8246030</v>
      </c>
      <c r="X124" s="61">
        <f t="shared" si="58"/>
        <v>8295783</v>
      </c>
      <c r="Y124" s="61">
        <f t="shared" si="58"/>
        <v>8398539</v>
      </c>
      <c r="Z124" s="61">
        <f t="shared" si="58"/>
        <v>8516751</v>
      </c>
      <c r="AA124" s="61">
        <f t="shared" ref="AA124:AK124" si="59">SUM(AA126,AA128,AA129,AA130:AA133)</f>
        <v>8586379</v>
      </c>
      <c r="AB124" s="61">
        <f t="shared" si="59"/>
        <v>8586379</v>
      </c>
      <c r="AC124" s="61">
        <f t="shared" si="59"/>
        <v>8586379</v>
      </c>
      <c r="AD124" s="61">
        <f t="shared" si="59"/>
        <v>8586379</v>
      </c>
      <c r="AE124" s="61">
        <f t="shared" si="59"/>
        <v>8586379</v>
      </c>
      <c r="AF124" s="61">
        <f t="shared" si="59"/>
        <v>8586379</v>
      </c>
      <c r="AG124" s="61">
        <f t="shared" si="59"/>
        <v>8586379</v>
      </c>
      <c r="AH124" s="61">
        <f t="shared" si="59"/>
        <v>8586379</v>
      </c>
      <c r="AI124" s="61">
        <f t="shared" si="59"/>
        <v>8586379</v>
      </c>
      <c r="AJ124" s="61">
        <f t="shared" si="59"/>
        <v>8586379</v>
      </c>
      <c r="AK124" s="61">
        <f t="shared" si="59"/>
        <v>8586379</v>
      </c>
    </row>
    <row r="125" spans="2:37" s="16" customFormat="1" x14ac:dyDescent="0.25">
      <c r="B125" s="17"/>
      <c r="F125" s="16" t="s">
        <v>246</v>
      </c>
      <c r="H125" s="16" t="s">
        <v>1017</v>
      </c>
      <c r="I125" s="61">
        <f t="shared" ref="I125:Z125" si="60">SUM(I128:I132)</f>
        <v>4043821</v>
      </c>
      <c r="J125" s="61">
        <f t="shared" si="60"/>
        <v>4216005</v>
      </c>
      <c r="K125" s="61">
        <f t="shared" si="60"/>
        <v>4370693</v>
      </c>
      <c r="L125" s="61">
        <f t="shared" si="60"/>
        <v>4402546</v>
      </c>
      <c r="M125" s="61">
        <f t="shared" si="60"/>
        <v>4474559</v>
      </c>
      <c r="N125" s="61">
        <f t="shared" si="60"/>
        <v>4616852</v>
      </c>
      <c r="O125" s="61">
        <f t="shared" si="60"/>
        <v>4687488</v>
      </c>
      <c r="P125" s="61">
        <f t="shared" si="60"/>
        <v>4867335</v>
      </c>
      <c r="Q125" s="61">
        <f t="shared" si="60"/>
        <v>4908648</v>
      </c>
      <c r="R125" s="61">
        <f t="shared" si="60"/>
        <v>4914925</v>
      </c>
      <c r="S125" s="61">
        <f t="shared" si="60"/>
        <v>4941482</v>
      </c>
      <c r="T125" s="61">
        <f t="shared" si="60"/>
        <v>4984060</v>
      </c>
      <c r="U125" s="61">
        <f t="shared" si="60"/>
        <v>5089455</v>
      </c>
      <c r="V125" s="61">
        <f t="shared" si="60"/>
        <v>5107607</v>
      </c>
      <c r="W125" s="61">
        <f t="shared" si="60"/>
        <v>5156933</v>
      </c>
      <c r="X125" s="61">
        <f t="shared" si="60"/>
        <v>5205404</v>
      </c>
      <c r="Y125" s="61">
        <f t="shared" si="60"/>
        <v>5218706</v>
      </c>
      <c r="Z125" s="61">
        <f t="shared" si="60"/>
        <v>5270722</v>
      </c>
      <c r="AA125" s="61">
        <f t="shared" ref="AA125:AK125" si="61">SUM(AA128:AA132)</f>
        <v>5301114</v>
      </c>
      <c r="AB125" s="61">
        <f t="shared" si="61"/>
        <v>5301114</v>
      </c>
      <c r="AC125" s="61">
        <f t="shared" si="61"/>
        <v>5301114</v>
      </c>
      <c r="AD125" s="61">
        <f t="shared" si="61"/>
        <v>5301114</v>
      </c>
      <c r="AE125" s="61">
        <f t="shared" si="61"/>
        <v>5301114</v>
      </c>
      <c r="AF125" s="61">
        <f t="shared" si="61"/>
        <v>5301114</v>
      </c>
      <c r="AG125" s="61">
        <f t="shared" si="61"/>
        <v>5301114</v>
      </c>
      <c r="AH125" s="61">
        <f t="shared" si="61"/>
        <v>5301114</v>
      </c>
      <c r="AI125" s="61">
        <f t="shared" si="61"/>
        <v>5301114</v>
      </c>
      <c r="AJ125" s="61">
        <f t="shared" si="61"/>
        <v>5301114</v>
      </c>
      <c r="AK125" s="61">
        <f t="shared" si="61"/>
        <v>5301114</v>
      </c>
    </row>
    <row r="126" spans="2:37" x14ac:dyDescent="0.25">
      <c r="G126" t="s">
        <v>235</v>
      </c>
      <c r="H126" t="s">
        <v>1017</v>
      </c>
      <c r="I126" s="59">
        <f t="shared" ref="I126:V126" si="62">J126-J94</f>
        <v>978015</v>
      </c>
      <c r="J126" s="59">
        <f t="shared" si="62"/>
        <v>978855</v>
      </c>
      <c r="K126" s="59">
        <f t="shared" si="62"/>
        <v>992455</v>
      </c>
      <c r="L126" s="59">
        <f t="shared" si="62"/>
        <v>992727</v>
      </c>
      <c r="M126" s="59">
        <f t="shared" si="62"/>
        <v>995127</v>
      </c>
      <c r="N126" s="59">
        <f t="shared" si="62"/>
        <v>1012123</v>
      </c>
      <c r="O126" s="59">
        <f t="shared" si="62"/>
        <v>1014223</v>
      </c>
      <c r="P126" s="59">
        <f t="shared" si="62"/>
        <v>1015487</v>
      </c>
      <c r="Q126" s="59">
        <f t="shared" si="62"/>
        <v>1016495</v>
      </c>
      <c r="R126" s="59">
        <f t="shared" si="62"/>
        <v>1016495</v>
      </c>
      <c r="S126" s="59">
        <f t="shared" si="62"/>
        <v>1016495</v>
      </c>
      <c r="T126" s="59">
        <f t="shared" si="62"/>
        <v>1016495</v>
      </c>
      <c r="U126" s="59">
        <f t="shared" si="62"/>
        <v>1020440</v>
      </c>
      <c r="V126" s="59">
        <f t="shared" si="62"/>
        <v>1022033</v>
      </c>
      <c r="W126" s="59">
        <v>1022033</v>
      </c>
      <c r="X126" s="59">
        <f t="shared" ref="X126:AK126" si="63">W126+X94</f>
        <v>1022033</v>
      </c>
      <c r="Y126" s="59">
        <f t="shared" si="63"/>
        <v>1022033</v>
      </c>
      <c r="Z126" s="59">
        <f t="shared" si="63"/>
        <v>1024553</v>
      </c>
      <c r="AA126" s="59">
        <f t="shared" si="63"/>
        <v>1033875</v>
      </c>
      <c r="AB126" s="59">
        <f t="shared" si="63"/>
        <v>1033875</v>
      </c>
      <c r="AC126" s="59">
        <f t="shared" si="63"/>
        <v>1033875</v>
      </c>
      <c r="AD126" s="59">
        <f t="shared" si="63"/>
        <v>1033875</v>
      </c>
      <c r="AE126" s="59">
        <f t="shared" si="63"/>
        <v>1033875</v>
      </c>
      <c r="AF126" s="59">
        <f t="shared" si="63"/>
        <v>1033875</v>
      </c>
      <c r="AG126" s="59">
        <f t="shared" si="63"/>
        <v>1033875</v>
      </c>
      <c r="AH126" s="59">
        <f t="shared" si="63"/>
        <v>1033875</v>
      </c>
      <c r="AI126" s="59">
        <f t="shared" si="63"/>
        <v>1033875</v>
      </c>
      <c r="AJ126" s="59">
        <f t="shared" si="63"/>
        <v>1033875</v>
      </c>
      <c r="AK126" s="59">
        <f t="shared" si="63"/>
        <v>1033875</v>
      </c>
    </row>
    <row r="127" spans="2:37" x14ac:dyDescent="0.25">
      <c r="B127" s="67" t="s">
        <v>254</v>
      </c>
      <c r="G127" t="s">
        <v>247</v>
      </c>
      <c r="H127" t="s">
        <v>1017</v>
      </c>
      <c r="I127" s="59">
        <f t="shared" ref="I127:V127" si="64">J127-J95</f>
        <v>37000</v>
      </c>
      <c r="J127" s="59">
        <f t="shared" si="64"/>
        <v>37000</v>
      </c>
      <c r="K127" s="59">
        <f t="shared" si="64"/>
        <v>41320</v>
      </c>
      <c r="L127" s="59">
        <f t="shared" si="64"/>
        <v>44723</v>
      </c>
      <c r="M127" s="59">
        <f t="shared" si="64"/>
        <v>45109</v>
      </c>
      <c r="N127" s="59">
        <f t="shared" si="64"/>
        <v>49340</v>
      </c>
      <c r="O127" s="59">
        <f t="shared" si="64"/>
        <v>49904</v>
      </c>
      <c r="P127" s="59">
        <f t="shared" si="64"/>
        <v>52186</v>
      </c>
      <c r="Q127" s="59">
        <f t="shared" si="64"/>
        <v>52186</v>
      </c>
      <c r="R127" s="59">
        <f t="shared" si="64"/>
        <v>52186</v>
      </c>
      <c r="S127" s="59">
        <f t="shared" si="64"/>
        <v>52186</v>
      </c>
      <c r="T127" s="59">
        <f t="shared" si="64"/>
        <v>52186</v>
      </c>
      <c r="U127" s="59">
        <f t="shared" si="64"/>
        <v>55750</v>
      </c>
      <c r="V127" s="59">
        <f t="shared" si="64"/>
        <v>55750</v>
      </c>
      <c r="W127" s="59">
        <v>57227</v>
      </c>
      <c r="X127" s="59">
        <f t="shared" ref="X127:AK127" si="65">W127+X95</f>
        <v>58563</v>
      </c>
      <c r="Y127" s="59">
        <f t="shared" si="65"/>
        <v>61129</v>
      </c>
      <c r="Z127" s="59">
        <f t="shared" si="65"/>
        <v>61545</v>
      </c>
      <c r="AA127" s="59">
        <f t="shared" si="65"/>
        <v>61545</v>
      </c>
      <c r="AB127" s="59">
        <f t="shared" si="65"/>
        <v>61545</v>
      </c>
      <c r="AC127" s="59">
        <f t="shared" si="65"/>
        <v>61545</v>
      </c>
      <c r="AD127" s="59">
        <f t="shared" si="65"/>
        <v>61545</v>
      </c>
      <c r="AE127" s="59">
        <f t="shared" si="65"/>
        <v>61545</v>
      </c>
      <c r="AF127" s="59">
        <f t="shared" si="65"/>
        <v>61545</v>
      </c>
      <c r="AG127" s="59">
        <f t="shared" si="65"/>
        <v>61545</v>
      </c>
      <c r="AH127" s="59">
        <f t="shared" si="65"/>
        <v>61545</v>
      </c>
      <c r="AI127" s="59">
        <f t="shared" si="65"/>
        <v>61545</v>
      </c>
      <c r="AJ127" s="59">
        <f t="shared" si="65"/>
        <v>61545</v>
      </c>
      <c r="AK127" s="59">
        <f t="shared" si="65"/>
        <v>61545</v>
      </c>
    </row>
    <row r="128" spans="2:37" x14ac:dyDescent="0.25">
      <c r="G128" t="s">
        <v>248</v>
      </c>
      <c r="H128" t="s">
        <v>1017</v>
      </c>
      <c r="I128" s="59">
        <f t="shared" ref="I128:V128" si="66">J128-J96</f>
        <v>196269</v>
      </c>
      <c r="J128" s="59">
        <f t="shared" si="66"/>
        <v>206787</v>
      </c>
      <c r="K128" s="59">
        <f t="shared" si="66"/>
        <v>206787</v>
      </c>
      <c r="L128" s="59">
        <f t="shared" si="66"/>
        <v>211054</v>
      </c>
      <c r="M128" s="59">
        <f t="shared" si="66"/>
        <v>222410</v>
      </c>
      <c r="N128" s="59">
        <f t="shared" si="66"/>
        <v>261387</v>
      </c>
      <c r="O128" s="59">
        <f t="shared" si="66"/>
        <v>278990</v>
      </c>
      <c r="P128" s="59">
        <f t="shared" si="66"/>
        <v>337440</v>
      </c>
      <c r="Q128" s="59">
        <f t="shared" si="66"/>
        <v>340074</v>
      </c>
      <c r="R128" s="59">
        <f t="shared" si="66"/>
        <v>340074</v>
      </c>
      <c r="S128" s="59">
        <f t="shared" si="66"/>
        <v>340074</v>
      </c>
      <c r="T128" s="59">
        <f t="shared" si="66"/>
        <v>363113</v>
      </c>
      <c r="U128" s="59">
        <f t="shared" si="66"/>
        <v>364549</v>
      </c>
      <c r="V128" s="59">
        <f t="shared" si="66"/>
        <v>365353</v>
      </c>
      <c r="W128" s="59">
        <v>367132</v>
      </c>
      <c r="X128" s="59">
        <f t="shared" ref="X128:AK128" si="67">W128+X96</f>
        <v>370255</v>
      </c>
      <c r="Y128" s="59">
        <f t="shared" si="67"/>
        <v>370442</v>
      </c>
      <c r="Z128" s="59">
        <f t="shared" si="67"/>
        <v>374675</v>
      </c>
      <c r="AA128" s="59">
        <f t="shared" si="67"/>
        <v>382845</v>
      </c>
      <c r="AB128" s="59">
        <f t="shared" si="67"/>
        <v>382845</v>
      </c>
      <c r="AC128" s="59">
        <f t="shared" si="67"/>
        <v>382845</v>
      </c>
      <c r="AD128" s="59">
        <f t="shared" si="67"/>
        <v>382845</v>
      </c>
      <c r="AE128" s="59">
        <f t="shared" si="67"/>
        <v>382845</v>
      </c>
      <c r="AF128" s="59">
        <f t="shared" si="67"/>
        <v>382845</v>
      </c>
      <c r="AG128" s="59">
        <f t="shared" si="67"/>
        <v>382845</v>
      </c>
      <c r="AH128" s="59">
        <f t="shared" si="67"/>
        <v>382845</v>
      </c>
      <c r="AI128" s="59">
        <f t="shared" si="67"/>
        <v>382845</v>
      </c>
      <c r="AJ128" s="59">
        <f t="shared" si="67"/>
        <v>382845</v>
      </c>
      <c r="AK128" s="59">
        <f t="shared" si="67"/>
        <v>382845</v>
      </c>
    </row>
    <row r="129" spans="1:37" x14ac:dyDescent="0.25">
      <c r="G129" t="s">
        <v>249</v>
      </c>
      <c r="H129" t="s">
        <v>1017</v>
      </c>
      <c r="I129" s="59">
        <f t="shared" ref="I129:V129" si="68">J129-J97</f>
        <v>387694</v>
      </c>
      <c r="J129" s="59">
        <f t="shared" si="68"/>
        <v>393020</v>
      </c>
      <c r="K129" s="59">
        <f t="shared" si="68"/>
        <v>401008</v>
      </c>
      <c r="L129" s="59">
        <f t="shared" si="68"/>
        <v>401008</v>
      </c>
      <c r="M129" s="59">
        <f t="shared" si="68"/>
        <v>405167</v>
      </c>
      <c r="N129" s="59">
        <f t="shared" si="68"/>
        <v>409846</v>
      </c>
      <c r="O129" s="59">
        <f t="shared" si="68"/>
        <v>409846</v>
      </c>
      <c r="P129" s="59">
        <f t="shared" si="68"/>
        <v>416010</v>
      </c>
      <c r="Q129" s="59">
        <f t="shared" si="68"/>
        <v>419823</v>
      </c>
      <c r="R129" s="59">
        <f t="shared" si="68"/>
        <v>424562</v>
      </c>
      <c r="S129" s="59">
        <f t="shared" si="68"/>
        <v>424562</v>
      </c>
      <c r="T129" s="59">
        <f t="shared" si="68"/>
        <v>426565</v>
      </c>
      <c r="U129" s="59">
        <f t="shared" si="68"/>
        <v>429596</v>
      </c>
      <c r="V129" s="59">
        <f t="shared" si="68"/>
        <v>429596</v>
      </c>
      <c r="W129" s="59">
        <v>433795</v>
      </c>
      <c r="X129" s="59">
        <f t="shared" ref="X129:AK129" si="69">W129+X97</f>
        <v>449703</v>
      </c>
      <c r="Y129" s="59">
        <f t="shared" si="69"/>
        <v>462256</v>
      </c>
      <c r="Z129" s="59">
        <f t="shared" si="69"/>
        <v>462803</v>
      </c>
      <c r="AA129" s="59">
        <f t="shared" si="69"/>
        <v>463473</v>
      </c>
      <c r="AB129" s="59">
        <f t="shared" si="69"/>
        <v>463473</v>
      </c>
      <c r="AC129" s="59">
        <f t="shared" si="69"/>
        <v>463473</v>
      </c>
      <c r="AD129" s="59">
        <f t="shared" si="69"/>
        <v>463473</v>
      </c>
      <c r="AE129" s="59">
        <f t="shared" si="69"/>
        <v>463473</v>
      </c>
      <c r="AF129" s="59">
        <f t="shared" si="69"/>
        <v>463473</v>
      </c>
      <c r="AG129" s="59">
        <f t="shared" si="69"/>
        <v>463473</v>
      </c>
      <c r="AH129" s="59">
        <f t="shared" si="69"/>
        <v>463473</v>
      </c>
      <c r="AI129" s="59">
        <f t="shared" si="69"/>
        <v>463473</v>
      </c>
      <c r="AJ129" s="59">
        <f t="shared" si="69"/>
        <v>463473</v>
      </c>
      <c r="AK129" s="59">
        <f t="shared" si="69"/>
        <v>463473</v>
      </c>
    </row>
    <row r="130" spans="1:37" x14ac:dyDescent="0.25">
      <c r="G130" t="s">
        <v>250</v>
      </c>
      <c r="H130" t="s">
        <v>1017</v>
      </c>
      <c r="I130" s="59">
        <f t="shared" ref="I130:V130" si="70">J130-J98</f>
        <v>973748</v>
      </c>
      <c r="J130" s="59">
        <f t="shared" si="70"/>
        <v>1001451</v>
      </c>
      <c r="K130" s="59">
        <f t="shared" si="70"/>
        <v>1027746</v>
      </c>
      <c r="L130" s="59">
        <f t="shared" si="70"/>
        <v>1039238</v>
      </c>
      <c r="M130" s="59">
        <f t="shared" si="70"/>
        <v>1085186</v>
      </c>
      <c r="N130" s="59">
        <f t="shared" si="70"/>
        <v>1135812</v>
      </c>
      <c r="O130" s="59">
        <f t="shared" si="70"/>
        <v>1166278</v>
      </c>
      <c r="P130" s="59">
        <f t="shared" si="70"/>
        <v>1243673</v>
      </c>
      <c r="Q130" s="59">
        <f t="shared" si="70"/>
        <v>1262579</v>
      </c>
      <c r="R130" s="59">
        <f t="shared" si="70"/>
        <v>1261311</v>
      </c>
      <c r="S130" s="59">
        <f t="shared" si="70"/>
        <v>1274917</v>
      </c>
      <c r="T130" s="59">
        <f t="shared" si="70"/>
        <v>1278456</v>
      </c>
      <c r="U130" s="59">
        <f t="shared" si="70"/>
        <v>1277932</v>
      </c>
      <c r="V130" s="59">
        <f t="shared" si="70"/>
        <v>1281832</v>
      </c>
      <c r="W130" s="59">
        <v>1278473</v>
      </c>
      <c r="X130" s="59">
        <f t="shared" ref="X130:AK130" si="71">W130+X98</f>
        <v>1301553</v>
      </c>
      <c r="Y130" s="59">
        <f t="shared" si="71"/>
        <v>1308393</v>
      </c>
      <c r="Z130" s="59">
        <f t="shared" si="71"/>
        <v>1326459</v>
      </c>
      <c r="AA130" s="59">
        <f t="shared" si="71"/>
        <v>1332402</v>
      </c>
      <c r="AB130" s="59">
        <f t="shared" si="71"/>
        <v>1332402</v>
      </c>
      <c r="AC130" s="59">
        <f t="shared" si="71"/>
        <v>1332402</v>
      </c>
      <c r="AD130" s="59">
        <f t="shared" si="71"/>
        <v>1332402</v>
      </c>
      <c r="AE130" s="59">
        <f t="shared" si="71"/>
        <v>1332402</v>
      </c>
      <c r="AF130" s="59">
        <f t="shared" si="71"/>
        <v>1332402</v>
      </c>
      <c r="AG130" s="59">
        <f t="shared" si="71"/>
        <v>1332402</v>
      </c>
      <c r="AH130" s="59">
        <f t="shared" si="71"/>
        <v>1332402</v>
      </c>
      <c r="AI130" s="59">
        <f t="shared" si="71"/>
        <v>1332402</v>
      </c>
      <c r="AJ130" s="59">
        <f t="shared" si="71"/>
        <v>1332402</v>
      </c>
      <c r="AK130" s="59">
        <f t="shared" si="71"/>
        <v>1332402</v>
      </c>
    </row>
    <row r="131" spans="1:37" x14ac:dyDescent="0.25">
      <c r="G131" t="s">
        <v>251</v>
      </c>
      <c r="H131" t="s">
        <v>1017</v>
      </c>
      <c r="I131" s="59">
        <f t="shared" ref="I131:V131" si="72">J131-J99</f>
        <v>1409582</v>
      </c>
      <c r="J131" s="59">
        <f t="shared" si="72"/>
        <v>1430685</v>
      </c>
      <c r="K131" s="59">
        <f t="shared" si="72"/>
        <v>1440937</v>
      </c>
      <c r="L131" s="59">
        <f t="shared" si="72"/>
        <v>1449187</v>
      </c>
      <c r="M131" s="59">
        <f t="shared" si="72"/>
        <v>1459240</v>
      </c>
      <c r="N131" s="59">
        <f t="shared" si="72"/>
        <v>1485090</v>
      </c>
      <c r="O131" s="59">
        <f t="shared" si="72"/>
        <v>1490740</v>
      </c>
      <c r="P131" s="59">
        <f t="shared" si="72"/>
        <v>1505040</v>
      </c>
      <c r="Q131" s="59">
        <f t="shared" si="72"/>
        <v>1507254</v>
      </c>
      <c r="R131" s="59">
        <f t="shared" si="72"/>
        <v>1510060</v>
      </c>
      <c r="S131" s="59">
        <f t="shared" si="72"/>
        <v>1510060</v>
      </c>
      <c r="T131" s="59">
        <f t="shared" si="72"/>
        <v>1525989</v>
      </c>
      <c r="U131" s="59">
        <f t="shared" si="72"/>
        <v>1583882</v>
      </c>
      <c r="V131" s="59">
        <f t="shared" si="72"/>
        <v>1589774</v>
      </c>
      <c r="W131" s="59">
        <v>1613931</v>
      </c>
      <c r="X131" s="59">
        <f t="shared" ref="X131:AK131" si="73">W131+X99</f>
        <v>1604601</v>
      </c>
      <c r="Y131" s="59">
        <f t="shared" si="73"/>
        <v>1589226</v>
      </c>
      <c r="Z131" s="59">
        <f t="shared" si="73"/>
        <v>1586281</v>
      </c>
      <c r="AA131" s="59">
        <f t="shared" si="73"/>
        <v>1580681</v>
      </c>
      <c r="AB131" s="59">
        <f t="shared" si="73"/>
        <v>1580681</v>
      </c>
      <c r="AC131" s="59">
        <f t="shared" si="73"/>
        <v>1580681</v>
      </c>
      <c r="AD131" s="59">
        <f t="shared" si="73"/>
        <v>1580681</v>
      </c>
      <c r="AE131" s="59">
        <f t="shared" si="73"/>
        <v>1580681</v>
      </c>
      <c r="AF131" s="59">
        <f t="shared" si="73"/>
        <v>1580681</v>
      </c>
      <c r="AG131" s="59">
        <f t="shared" si="73"/>
        <v>1580681</v>
      </c>
      <c r="AH131" s="59">
        <f t="shared" si="73"/>
        <v>1580681</v>
      </c>
      <c r="AI131" s="59">
        <f t="shared" si="73"/>
        <v>1580681</v>
      </c>
      <c r="AJ131" s="59">
        <f t="shared" si="73"/>
        <v>1580681</v>
      </c>
      <c r="AK131" s="59">
        <f t="shared" si="73"/>
        <v>1580681</v>
      </c>
    </row>
    <row r="132" spans="1:37" x14ac:dyDescent="0.25">
      <c r="G132" t="s">
        <v>252</v>
      </c>
      <c r="H132" t="s">
        <v>1017</v>
      </c>
      <c r="I132" s="59">
        <f t="shared" ref="I132:V132" si="74">J132-J100</f>
        <v>1076528</v>
      </c>
      <c r="J132" s="59">
        <f t="shared" si="74"/>
        <v>1184062</v>
      </c>
      <c r="K132" s="59">
        <f t="shared" si="74"/>
        <v>1294215</v>
      </c>
      <c r="L132" s="59">
        <f t="shared" si="74"/>
        <v>1302059</v>
      </c>
      <c r="M132" s="59">
        <f t="shared" si="74"/>
        <v>1302556</v>
      </c>
      <c r="N132" s="59">
        <f t="shared" si="74"/>
        <v>1324717</v>
      </c>
      <c r="O132" s="59">
        <f t="shared" si="74"/>
        <v>1341634</v>
      </c>
      <c r="P132" s="59">
        <f t="shared" si="74"/>
        <v>1365172</v>
      </c>
      <c r="Q132" s="59">
        <f t="shared" si="74"/>
        <v>1378918</v>
      </c>
      <c r="R132" s="59">
        <f t="shared" si="74"/>
        <v>1378918</v>
      </c>
      <c r="S132" s="59">
        <f t="shared" si="74"/>
        <v>1391869</v>
      </c>
      <c r="T132" s="59">
        <f t="shared" si="74"/>
        <v>1389937</v>
      </c>
      <c r="U132" s="59">
        <f t="shared" si="74"/>
        <v>1433496</v>
      </c>
      <c r="V132" s="59">
        <f t="shared" si="74"/>
        <v>1441052</v>
      </c>
      <c r="W132" s="59">
        <v>1463602</v>
      </c>
      <c r="X132" s="59">
        <f t="shared" ref="X132:AK132" si="75">W132+X100</f>
        <v>1479292</v>
      </c>
      <c r="Y132" s="59">
        <f t="shared" si="75"/>
        <v>1488389</v>
      </c>
      <c r="Z132" s="59">
        <f t="shared" si="75"/>
        <v>1520504</v>
      </c>
      <c r="AA132" s="59">
        <f t="shared" si="75"/>
        <v>1541713</v>
      </c>
      <c r="AB132" s="59">
        <f t="shared" si="75"/>
        <v>1541713</v>
      </c>
      <c r="AC132" s="59">
        <f t="shared" si="75"/>
        <v>1541713</v>
      </c>
      <c r="AD132" s="59">
        <f t="shared" si="75"/>
        <v>1541713</v>
      </c>
      <c r="AE132" s="59">
        <f t="shared" si="75"/>
        <v>1541713</v>
      </c>
      <c r="AF132" s="59">
        <f t="shared" si="75"/>
        <v>1541713</v>
      </c>
      <c r="AG132" s="59">
        <f t="shared" si="75"/>
        <v>1541713</v>
      </c>
      <c r="AH132" s="59">
        <f t="shared" si="75"/>
        <v>1541713</v>
      </c>
      <c r="AI132" s="59">
        <f t="shared" si="75"/>
        <v>1541713</v>
      </c>
      <c r="AJ132" s="59">
        <f t="shared" si="75"/>
        <v>1541713</v>
      </c>
      <c r="AK132" s="59">
        <f t="shared" si="75"/>
        <v>1541713</v>
      </c>
    </row>
    <row r="133" spans="1:37" x14ac:dyDescent="0.25">
      <c r="G133" t="s">
        <v>253</v>
      </c>
      <c r="H133" t="s">
        <v>1017</v>
      </c>
      <c r="I133" s="59">
        <f t="shared" ref="I133:V133" si="76">J133-J101</f>
        <v>1359234</v>
      </c>
      <c r="J133" s="59">
        <f t="shared" si="76"/>
        <v>1374236</v>
      </c>
      <c r="K133" s="59">
        <f t="shared" si="76"/>
        <v>1407200</v>
      </c>
      <c r="L133" s="59">
        <f t="shared" si="76"/>
        <v>1503394</v>
      </c>
      <c r="M133" s="59">
        <f t="shared" si="76"/>
        <v>1689817</v>
      </c>
      <c r="N133" s="59">
        <f t="shared" si="76"/>
        <v>1880256</v>
      </c>
      <c r="O133" s="59">
        <f t="shared" si="76"/>
        <v>1887314</v>
      </c>
      <c r="P133" s="59">
        <f t="shared" si="76"/>
        <v>1890993</v>
      </c>
      <c r="Q133" s="59">
        <f t="shared" si="76"/>
        <v>1926584</v>
      </c>
      <c r="R133" s="59">
        <f t="shared" si="76"/>
        <v>1987271</v>
      </c>
      <c r="S133" s="59">
        <f t="shared" si="76"/>
        <v>2017229</v>
      </c>
      <c r="T133" s="59">
        <f t="shared" si="76"/>
        <v>2019732</v>
      </c>
      <c r="U133" s="59">
        <f t="shared" si="76"/>
        <v>2029316</v>
      </c>
      <c r="V133" s="59">
        <f t="shared" si="76"/>
        <v>2062797</v>
      </c>
      <c r="W133" s="59">
        <v>2067064</v>
      </c>
      <c r="X133" s="59">
        <f t="shared" ref="X133:AK133" si="77">W133+X101</f>
        <v>2068346</v>
      </c>
      <c r="Y133" s="59">
        <f t="shared" si="77"/>
        <v>2157800</v>
      </c>
      <c r="Z133" s="59">
        <f t="shared" si="77"/>
        <v>2221476</v>
      </c>
      <c r="AA133" s="59">
        <f t="shared" si="77"/>
        <v>2251390</v>
      </c>
      <c r="AB133" s="59">
        <f t="shared" si="77"/>
        <v>2251390</v>
      </c>
      <c r="AC133" s="59">
        <f t="shared" si="77"/>
        <v>2251390</v>
      </c>
      <c r="AD133" s="59">
        <f t="shared" si="77"/>
        <v>2251390</v>
      </c>
      <c r="AE133" s="59">
        <f t="shared" si="77"/>
        <v>2251390</v>
      </c>
      <c r="AF133" s="59">
        <f t="shared" si="77"/>
        <v>2251390</v>
      </c>
      <c r="AG133" s="59">
        <f t="shared" si="77"/>
        <v>2251390</v>
      </c>
      <c r="AH133" s="59">
        <f t="shared" si="77"/>
        <v>2251390</v>
      </c>
      <c r="AI133" s="59">
        <f t="shared" si="77"/>
        <v>2251390</v>
      </c>
      <c r="AJ133" s="59">
        <f t="shared" si="77"/>
        <v>2251390</v>
      </c>
      <c r="AK133" s="59">
        <f t="shared" si="77"/>
        <v>2251390</v>
      </c>
    </row>
    <row r="134" spans="1:37" s="3" customFormat="1" x14ac:dyDescent="0.25">
      <c r="B134" s="4"/>
    </row>
    <row r="135" spans="1:37" s="37" customFormat="1" ht="17.25" x14ac:dyDescent="0.3">
      <c r="A135" s="37" t="s">
        <v>22</v>
      </c>
    </row>
    <row r="136" spans="1:37" x14ac:dyDescent="0.25">
      <c r="B136" s="64" t="s">
        <v>31</v>
      </c>
      <c r="C136" t="s">
        <v>233</v>
      </c>
    </row>
    <row r="137" spans="1:37" x14ac:dyDescent="0.25">
      <c r="B137" s="64"/>
      <c r="C137" s="63" t="s">
        <v>999</v>
      </c>
    </row>
    <row r="138" spans="1:37" x14ac:dyDescent="0.25">
      <c r="B138" s="64" t="s">
        <v>32</v>
      </c>
      <c r="C138" s="195" t="s">
        <v>22</v>
      </c>
    </row>
    <row r="139" spans="1:37" x14ac:dyDescent="0.25">
      <c r="B139" s="64"/>
      <c r="C139" s="195" t="s">
        <v>404</v>
      </c>
      <c r="I139" s="59"/>
      <c r="J139" s="59"/>
      <c r="K139" s="59"/>
      <c r="L139" s="59"/>
      <c r="M139" s="59"/>
      <c r="N139" s="59"/>
      <c r="O139" s="59"/>
      <c r="P139" s="59"/>
      <c r="Q139" s="59"/>
      <c r="R139" s="59"/>
      <c r="S139" s="59"/>
      <c r="T139" s="59"/>
      <c r="U139" s="59"/>
      <c r="V139" s="59"/>
      <c r="W139" s="59"/>
      <c r="X139" s="59"/>
      <c r="Y139" s="59"/>
      <c r="Z139" s="59"/>
      <c r="AA139" s="59"/>
    </row>
    <row r="140" spans="1:37" x14ac:dyDescent="0.25">
      <c r="B140" s="64" t="s">
        <v>331</v>
      </c>
      <c r="C140" t="s">
        <v>337</v>
      </c>
    </row>
    <row r="141" spans="1:37" x14ac:dyDescent="0.25">
      <c r="B141" s="64" t="s">
        <v>332</v>
      </c>
      <c r="C141" t="s">
        <v>1556</v>
      </c>
      <c r="R141" s="59"/>
      <c r="S141" s="59"/>
      <c r="T141" s="59"/>
      <c r="U141" s="59"/>
      <c r="V141" s="59"/>
      <c r="W141" s="59"/>
      <c r="X141" s="59"/>
      <c r="Y141" s="59"/>
      <c r="Z141" s="59"/>
      <c r="AA141" s="59"/>
    </row>
    <row r="142" spans="1:37" x14ac:dyDescent="0.25">
      <c r="B142" s="64" t="s">
        <v>334</v>
      </c>
      <c r="C142" t="s">
        <v>1560</v>
      </c>
    </row>
    <row r="143" spans="1:37" s="34" customFormat="1" ht="15.75" thickBot="1" x14ac:dyDescent="0.3">
      <c r="B143" s="65"/>
      <c r="C143" s="34" t="s">
        <v>1558</v>
      </c>
    </row>
    <row r="144" spans="1:37" s="13" customFormat="1" ht="15.75" thickTop="1" x14ac:dyDescent="0.25">
      <c r="B144" s="66" t="s">
        <v>34</v>
      </c>
      <c r="C144" s="15" t="s">
        <v>1071</v>
      </c>
      <c r="H144" s="13" t="s">
        <v>1015</v>
      </c>
      <c r="I144" s="62">
        <f t="shared" ref="I144:AK144" si="78">SUM(I148:I159,I161:I165)</f>
        <v>62</v>
      </c>
      <c r="J144" s="62">
        <f t="shared" si="78"/>
        <v>187</v>
      </c>
      <c r="K144" s="62">
        <f t="shared" si="78"/>
        <v>321</v>
      </c>
      <c r="L144" s="62">
        <f t="shared" si="78"/>
        <v>156</v>
      </c>
      <c r="M144" s="62">
        <f t="shared" si="78"/>
        <v>257</v>
      </c>
      <c r="N144" s="62">
        <f t="shared" si="78"/>
        <v>166</v>
      </c>
      <c r="O144" s="62">
        <f t="shared" si="78"/>
        <v>165</v>
      </c>
      <c r="P144" s="62">
        <f t="shared" si="78"/>
        <v>181</v>
      </c>
      <c r="Q144" s="62">
        <f t="shared" si="78"/>
        <v>170</v>
      </c>
      <c r="R144" s="62">
        <f t="shared" si="78"/>
        <v>68</v>
      </c>
      <c r="S144" s="62">
        <f t="shared" si="78"/>
        <v>67</v>
      </c>
      <c r="T144" s="62">
        <f t="shared" si="78"/>
        <v>63</v>
      </c>
      <c r="U144" s="62">
        <f t="shared" si="78"/>
        <v>106</v>
      </c>
      <c r="V144" s="62">
        <f t="shared" si="78"/>
        <v>127</v>
      </c>
      <c r="W144" s="62">
        <f t="shared" si="78"/>
        <v>133</v>
      </c>
      <c r="X144" s="62">
        <f t="shared" si="78"/>
        <v>126</v>
      </c>
      <c r="Y144" s="62">
        <f t="shared" si="78"/>
        <v>179</v>
      </c>
      <c r="Z144" s="62">
        <f t="shared" si="78"/>
        <v>218</v>
      </c>
      <c r="AA144" s="62">
        <f t="shared" si="78"/>
        <v>222</v>
      </c>
      <c r="AB144" s="62">
        <f t="shared" si="78"/>
        <v>0</v>
      </c>
      <c r="AC144" s="62">
        <f t="shared" si="78"/>
        <v>0</v>
      </c>
      <c r="AD144" s="62">
        <f t="shared" si="78"/>
        <v>0</v>
      </c>
      <c r="AE144" s="62">
        <f t="shared" si="78"/>
        <v>0</v>
      </c>
      <c r="AF144" s="62">
        <f t="shared" si="78"/>
        <v>0</v>
      </c>
      <c r="AG144" s="62">
        <f t="shared" si="78"/>
        <v>0</v>
      </c>
      <c r="AH144" s="62">
        <f t="shared" si="78"/>
        <v>0</v>
      </c>
      <c r="AI144" s="62">
        <f t="shared" si="78"/>
        <v>0</v>
      </c>
      <c r="AJ144" s="62">
        <f t="shared" si="78"/>
        <v>0</v>
      </c>
      <c r="AK144" s="62">
        <f t="shared" si="78"/>
        <v>0</v>
      </c>
    </row>
    <row r="145" spans="2:37" s="16" customFormat="1" x14ac:dyDescent="0.25">
      <c r="B145" s="17"/>
      <c r="D145" s="16" t="s">
        <v>2</v>
      </c>
      <c r="H145" s="16" t="s">
        <v>1015</v>
      </c>
      <c r="I145" s="61">
        <f t="shared" ref="I145:AK145" si="79">SUM(I148:I159)</f>
        <v>34</v>
      </c>
      <c r="J145" s="61">
        <f t="shared" si="79"/>
        <v>127</v>
      </c>
      <c r="K145" s="61">
        <f t="shared" si="79"/>
        <v>189</v>
      </c>
      <c r="L145" s="61">
        <f t="shared" si="79"/>
        <v>80</v>
      </c>
      <c r="M145" s="61">
        <f t="shared" si="79"/>
        <v>148</v>
      </c>
      <c r="N145" s="61">
        <f t="shared" si="79"/>
        <v>79</v>
      </c>
      <c r="O145" s="61">
        <f t="shared" si="79"/>
        <v>85</v>
      </c>
      <c r="P145" s="61">
        <f t="shared" si="79"/>
        <v>100</v>
      </c>
      <c r="Q145" s="61">
        <f t="shared" si="79"/>
        <v>83</v>
      </c>
      <c r="R145" s="61">
        <f t="shared" si="79"/>
        <v>27</v>
      </c>
      <c r="S145" s="61">
        <f t="shared" si="79"/>
        <v>36</v>
      </c>
      <c r="T145" s="61">
        <f t="shared" si="79"/>
        <v>35</v>
      </c>
      <c r="U145" s="61">
        <f t="shared" si="79"/>
        <v>60</v>
      </c>
      <c r="V145" s="61">
        <f t="shared" si="79"/>
        <v>78</v>
      </c>
      <c r="W145" s="61">
        <f t="shared" si="79"/>
        <v>80</v>
      </c>
      <c r="X145" s="61">
        <f t="shared" si="79"/>
        <v>69</v>
      </c>
      <c r="Y145" s="61">
        <f t="shared" si="79"/>
        <v>122</v>
      </c>
      <c r="Z145" s="61">
        <f t="shared" si="79"/>
        <v>142</v>
      </c>
      <c r="AA145" s="61">
        <f t="shared" si="79"/>
        <v>164</v>
      </c>
      <c r="AB145" s="61">
        <f t="shared" si="79"/>
        <v>0</v>
      </c>
      <c r="AC145" s="61">
        <f t="shared" si="79"/>
        <v>0</v>
      </c>
      <c r="AD145" s="61">
        <f t="shared" si="79"/>
        <v>0</v>
      </c>
      <c r="AE145" s="61">
        <f t="shared" si="79"/>
        <v>0</v>
      </c>
      <c r="AF145" s="61">
        <f t="shared" si="79"/>
        <v>0</v>
      </c>
      <c r="AG145" s="61">
        <f t="shared" si="79"/>
        <v>0</v>
      </c>
      <c r="AH145" s="61">
        <f t="shared" si="79"/>
        <v>0</v>
      </c>
      <c r="AI145" s="61">
        <f t="shared" si="79"/>
        <v>0</v>
      </c>
      <c r="AJ145" s="61">
        <f t="shared" si="79"/>
        <v>0</v>
      </c>
      <c r="AK145" s="61">
        <f t="shared" si="79"/>
        <v>0</v>
      </c>
    </row>
    <row r="146" spans="2:37" s="16" customFormat="1" x14ac:dyDescent="0.25">
      <c r="B146" s="17"/>
      <c r="E146" s="16" t="s">
        <v>162</v>
      </c>
      <c r="H146" s="16" t="s">
        <v>1015</v>
      </c>
      <c r="I146" s="61">
        <f t="shared" ref="I146:AK146" si="80">SUM(I148:I153)</f>
        <v>31</v>
      </c>
      <c r="J146" s="61">
        <f t="shared" si="80"/>
        <v>80</v>
      </c>
      <c r="K146" s="61">
        <f t="shared" si="80"/>
        <v>173</v>
      </c>
      <c r="L146" s="61">
        <f t="shared" si="80"/>
        <v>71</v>
      </c>
      <c r="M146" s="61">
        <f t="shared" si="80"/>
        <v>135</v>
      </c>
      <c r="N146" s="61">
        <f t="shared" si="80"/>
        <v>57</v>
      </c>
      <c r="O146" s="61">
        <f t="shared" si="80"/>
        <v>56</v>
      </c>
      <c r="P146" s="61">
        <f t="shared" si="80"/>
        <v>65</v>
      </c>
      <c r="Q146" s="61">
        <f t="shared" si="80"/>
        <v>41</v>
      </c>
      <c r="R146" s="61">
        <f t="shared" si="80"/>
        <v>17</v>
      </c>
      <c r="S146" s="61">
        <f t="shared" si="80"/>
        <v>29</v>
      </c>
      <c r="T146" s="61">
        <f t="shared" si="80"/>
        <v>14</v>
      </c>
      <c r="U146" s="61">
        <f t="shared" si="80"/>
        <v>56</v>
      </c>
      <c r="V146" s="61">
        <f t="shared" si="80"/>
        <v>44</v>
      </c>
      <c r="W146" s="61">
        <f t="shared" si="80"/>
        <v>62</v>
      </c>
      <c r="X146" s="61">
        <f t="shared" si="80"/>
        <v>33</v>
      </c>
      <c r="Y146" s="61">
        <f t="shared" si="80"/>
        <v>73</v>
      </c>
      <c r="Z146" s="61">
        <f t="shared" si="80"/>
        <v>127</v>
      </c>
      <c r="AA146" s="61">
        <f t="shared" si="80"/>
        <v>149</v>
      </c>
      <c r="AB146" s="61">
        <f t="shared" si="80"/>
        <v>0</v>
      </c>
      <c r="AC146" s="61">
        <f t="shared" si="80"/>
        <v>0</v>
      </c>
      <c r="AD146" s="61">
        <f t="shared" si="80"/>
        <v>0</v>
      </c>
      <c r="AE146" s="61">
        <f t="shared" si="80"/>
        <v>0</v>
      </c>
      <c r="AF146" s="61">
        <f t="shared" si="80"/>
        <v>0</v>
      </c>
      <c r="AG146" s="61">
        <f t="shared" si="80"/>
        <v>0</v>
      </c>
      <c r="AH146" s="61">
        <f t="shared" si="80"/>
        <v>0</v>
      </c>
      <c r="AI146" s="61">
        <f t="shared" si="80"/>
        <v>0</v>
      </c>
      <c r="AJ146" s="61">
        <f t="shared" si="80"/>
        <v>0</v>
      </c>
      <c r="AK146" s="61">
        <f t="shared" si="80"/>
        <v>0</v>
      </c>
    </row>
    <row r="147" spans="2:37" s="16" customFormat="1" x14ac:dyDescent="0.25">
      <c r="B147" s="17"/>
      <c r="E147" s="16" t="s">
        <v>255</v>
      </c>
      <c r="H147" s="16" t="s">
        <v>1015</v>
      </c>
      <c r="I147" s="61">
        <f t="shared" ref="I147:AK147" si="81">SUM(I154:I159)</f>
        <v>3</v>
      </c>
      <c r="J147" s="61">
        <f t="shared" si="81"/>
        <v>47</v>
      </c>
      <c r="K147" s="61">
        <f t="shared" si="81"/>
        <v>16</v>
      </c>
      <c r="L147" s="61">
        <f t="shared" si="81"/>
        <v>9</v>
      </c>
      <c r="M147" s="61">
        <f t="shared" si="81"/>
        <v>13</v>
      </c>
      <c r="N147" s="61">
        <f t="shared" si="81"/>
        <v>22</v>
      </c>
      <c r="O147" s="61">
        <f t="shared" si="81"/>
        <v>29</v>
      </c>
      <c r="P147" s="61">
        <f t="shared" si="81"/>
        <v>35</v>
      </c>
      <c r="Q147" s="61">
        <f t="shared" si="81"/>
        <v>42</v>
      </c>
      <c r="R147" s="61">
        <f t="shared" si="81"/>
        <v>10</v>
      </c>
      <c r="S147" s="61">
        <f t="shared" si="81"/>
        <v>7</v>
      </c>
      <c r="T147" s="61">
        <f t="shared" si="81"/>
        <v>21</v>
      </c>
      <c r="U147" s="61">
        <f t="shared" si="81"/>
        <v>4</v>
      </c>
      <c r="V147" s="61">
        <f t="shared" si="81"/>
        <v>34</v>
      </c>
      <c r="W147" s="61">
        <f t="shared" si="81"/>
        <v>18</v>
      </c>
      <c r="X147" s="61">
        <f t="shared" si="81"/>
        <v>36</v>
      </c>
      <c r="Y147" s="61">
        <f t="shared" si="81"/>
        <v>49</v>
      </c>
      <c r="Z147" s="61">
        <f t="shared" si="81"/>
        <v>15</v>
      </c>
      <c r="AA147" s="61">
        <f t="shared" si="81"/>
        <v>15</v>
      </c>
      <c r="AB147" s="61">
        <f t="shared" si="81"/>
        <v>0</v>
      </c>
      <c r="AC147" s="61">
        <f t="shared" si="81"/>
        <v>0</v>
      </c>
      <c r="AD147" s="61">
        <f t="shared" si="81"/>
        <v>0</v>
      </c>
      <c r="AE147" s="61">
        <f t="shared" si="81"/>
        <v>0</v>
      </c>
      <c r="AF147" s="61">
        <f t="shared" si="81"/>
        <v>0</v>
      </c>
      <c r="AG147" s="61">
        <f t="shared" si="81"/>
        <v>0</v>
      </c>
      <c r="AH147" s="61">
        <f t="shared" si="81"/>
        <v>0</v>
      </c>
      <c r="AI147" s="61">
        <f t="shared" si="81"/>
        <v>0</v>
      </c>
      <c r="AJ147" s="61">
        <f t="shared" si="81"/>
        <v>0</v>
      </c>
      <c r="AK147" s="61">
        <f t="shared" si="81"/>
        <v>0</v>
      </c>
    </row>
    <row r="148" spans="2:37" x14ac:dyDescent="0.25">
      <c r="F148" t="s">
        <v>256</v>
      </c>
      <c r="H148" t="s">
        <v>1015</v>
      </c>
      <c r="I148" s="59">
        <v>0</v>
      </c>
      <c r="J148" s="59">
        <v>0</v>
      </c>
      <c r="K148" s="59">
        <v>0</v>
      </c>
      <c r="L148" s="59">
        <v>0</v>
      </c>
      <c r="M148" s="59">
        <v>0</v>
      </c>
      <c r="N148" s="59">
        <v>0</v>
      </c>
      <c r="O148" s="59">
        <v>1</v>
      </c>
      <c r="P148" s="59">
        <v>0</v>
      </c>
      <c r="Q148" s="59">
        <v>0</v>
      </c>
      <c r="R148" s="59">
        <v>0</v>
      </c>
      <c r="S148" s="59">
        <v>0</v>
      </c>
      <c r="T148" s="59">
        <v>0</v>
      </c>
      <c r="U148" s="59">
        <v>1</v>
      </c>
      <c r="V148" s="59">
        <v>0</v>
      </c>
      <c r="W148" s="59">
        <v>0</v>
      </c>
      <c r="X148" s="59">
        <v>0</v>
      </c>
      <c r="Y148" s="59">
        <v>0</v>
      </c>
      <c r="Z148" s="59">
        <v>0</v>
      </c>
      <c r="AA148" s="59">
        <v>0</v>
      </c>
      <c r="AB148" s="59"/>
      <c r="AC148" s="59"/>
      <c r="AD148" s="59"/>
      <c r="AE148" s="59"/>
      <c r="AF148" s="59"/>
      <c r="AG148" s="59"/>
      <c r="AH148" s="59"/>
      <c r="AI148" s="59"/>
      <c r="AJ148" s="59"/>
      <c r="AK148" s="59"/>
    </row>
    <row r="149" spans="2:37" x14ac:dyDescent="0.25">
      <c r="F149" t="s">
        <v>116</v>
      </c>
      <c r="H149" t="s">
        <v>1015</v>
      </c>
      <c r="I149" s="59">
        <v>9</v>
      </c>
      <c r="J149" s="59">
        <v>2</v>
      </c>
      <c r="K149" s="59">
        <v>9</v>
      </c>
      <c r="L149" s="59">
        <v>1</v>
      </c>
      <c r="M149" s="59">
        <v>18</v>
      </c>
      <c r="N149" s="59">
        <v>3</v>
      </c>
      <c r="O149" s="59">
        <v>18</v>
      </c>
      <c r="P149" s="59">
        <v>22</v>
      </c>
      <c r="Q149" s="59">
        <v>0</v>
      </c>
      <c r="R149" s="59">
        <v>0</v>
      </c>
      <c r="S149" s="59">
        <v>1</v>
      </c>
      <c r="T149" s="59">
        <v>1</v>
      </c>
      <c r="U149" s="59">
        <v>0</v>
      </c>
      <c r="V149" s="59">
        <v>2</v>
      </c>
      <c r="W149" s="59">
        <v>5</v>
      </c>
      <c r="X149" s="59">
        <v>9</v>
      </c>
      <c r="Y149" s="59">
        <v>4</v>
      </c>
      <c r="Z149" s="59">
        <v>34</v>
      </c>
      <c r="AA149" s="59">
        <v>13</v>
      </c>
      <c r="AB149" s="59"/>
      <c r="AC149" s="59"/>
      <c r="AD149" s="59"/>
      <c r="AE149" s="59"/>
      <c r="AF149" s="59"/>
      <c r="AG149" s="59"/>
      <c r="AH149" s="59"/>
      <c r="AI149" s="59"/>
      <c r="AJ149" s="59"/>
      <c r="AK149" s="59"/>
    </row>
    <row r="150" spans="2:37" x14ac:dyDescent="0.25">
      <c r="F150" t="s">
        <v>257</v>
      </c>
      <c r="H150" t="s">
        <v>1015</v>
      </c>
      <c r="I150" s="59">
        <v>13</v>
      </c>
      <c r="J150" s="59">
        <v>8</v>
      </c>
      <c r="K150" s="59">
        <v>97</v>
      </c>
      <c r="L150" s="59">
        <v>6</v>
      </c>
      <c r="M150" s="59">
        <v>23</v>
      </c>
      <c r="N150" s="59">
        <v>21</v>
      </c>
      <c r="O150" s="59">
        <v>22</v>
      </c>
      <c r="P150" s="59">
        <v>2</v>
      </c>
      <c r="Q150" s="59">
        <v>21</v>
      </c>
      <c r="R150" s="59">
        <v>17</v>
      </c>
      <c r="S150" s="59">
        <v>9</v>
      </c>
      <c r="T150" s="59">
        <v>8</v>
      </c>
      <c r="U150" s="59">
        <v>6</v>
      </c>
      <c r="V150" s="59">
        <v>9</v>
      </c>
      <c r="W150" s="59">
        <v>10</v>
      </c>
      <c r="X150" s="59">
        <v>16</v>
      </c>
      <c r="Y150" s="59">
        <v>37</v>
      </c>
      <c r="Z150" s="59">
        <v>75</v>
      </c>
      <c r="AA150" s="59">
        <v>113</v>
      </c>
      <c r="AB150" s="59"/>
      <c r="AC150" s="59"/>
      <c r="AD150" s="59"/>
      <c r="AE150" s="59"/>
      <c r="AF150" s="59"/>
      <c r="AG150" s="59"/>
      <c r="AH150" s="59"/>
      <c r="AI150" s="59"/>
      <c r="AJ150" s="59"/>
      <c r="AK150" s="59"/>
    </row>
    <row r="151" spans="2:37" x14ac:dyDescent="0.25">
      <c r="F151" t="s">
        <v>258</v>
      </c>
      <c r="H151" t="s">
        <v>1015</v>
      </c>
      <c r="I151" s="59">
        <v>1</v>
      </c>
      <c r="J151" s="59">
        <v>0</v>
      </c>
      <c r="K151" s="59">
        <v>56</v>
      </c>
      <c r="L151" s="59">
        <v>0</v>
      </c>
      <c r="M151" s="59">
        <v>0</v>
      </c>
      <c r="N151" s="59">
        <v>0</v>
      </c>
      <c r="O151" s="59">
        <v>3</v>
      </c>
      <c r="P151" s="59">
        <v>5</v>
      </c>
      <c r="Q151" s="59">
        <v>0</v>
      </c>
      <c r="R151" s="59">
        <v>0</v>
      </c>
      <c r="S151" s="59">
        <v>12</v>
      </c>
      <c r="T151" s="59">
        <v>0</v>
      </c>
      <c r="U151" s="59">
        <v>19</v>
      </c>
      <c r="V151" s="59">
        <v>20</v>
      </c>
      <c r="W151" s="59">
        <v>33</v>
      </c>
      <c r="X151" s="59">
        <v>1</v>
      </c>
      <c r="Y151" s="59">
        <v>24</v>
      </c>
      <c r="Z151" s="59">
        <v>2</v>
      </c>
      <c r="AA151" s="59">
        <v>8</v>
      </c>
      <c r="AB151" s="59"/>
      <c r="AC151" s="59"/>
      <c r="AD151" s="59"/>
      <c r="AE151" s="59"/>
      <c r="AF151" s="59"/>
      <c r="AG151" s="59"/>
      <c r="AH151" s="59"/>
      <c r="AI151" s="59"/>
      <c r="AJ151" s="59"/>
      <c r="AK151" s="59"/>
    </row>
    <row r="152" spans="2:37" x14ac:dyDescent="0.25">
      <c r="F152" t="s">
        <v>259</v>
      </c>
      <c r="H152" t="s">
        <v>1015</v>
      </c>
      <c r="I152" s="59">
        <v>1</v>
      </c>
      <c r="J152" s="59">
        <v>57</v>
      </c>
      <c r="K152" s="59">
        <v>4</v>
      </c>
      <c r="L152" s="59">
        <v>53</v>
      </c>
      <c r="M152" s="59">
        <v>87</v>
      </c>
      <c r="N152" s="59">
        <v>30</v>
      </c>
      <c r="O152" s="59">
        <v>4</v>
      </c>
      <c r="P152" s="59">
        <v>31</v>
      </c>
      <c r="Q152" s="59">
        <v>20</v>
      </c>
      <c r="R152" s="59">
        <v>0</v>
      </c>
      <c r="S152" s="59">
        <v>2</v>
      </c>
      <c r="T152" s="59">
        <v>1</v>
      </c>
      <c r="U152" s="59">
        <v>21</v>
      </c>
      <c r="V152" s="59">
        <v>3</v>
      </c>
      <c r="W152" s="59">
        <v>9</v>
      </c>
      <c r="X152" s="59">
        <v>1</v>
      </c>
      <c r="Y152" s="59">
        <v>3</v>
      </c>
      <c r="Z152" s="59">
        <v>5</v>
      </c>
      <c r="AA152" s="59">
        <v>8</v>
      </c>
      <c r="AB152" s="59"/>
      <c r="AC152" s="59"/>
      <c r="AD152" s="59"/>
      <c r="AE152" s="59"/>
      <c r="AF152" s="59"/>
      <c r="AG152" s="59"/>
      <c r="AH152" s="59"/>
      <c r="AI152" s="59"/>
      <c r="AJ152" s="59"/>
      <c r="AK152" s="59"/>
    </row>
    <row r="153" spans="2:37" x14ac:dyDescent="0.25">
      <c r="F153" t="s">
        <v>260</v>
      </c>
      <c r="H153" t="s">
        <v>1015</v>
      </c>
      <c r="I153" s="59">
        <v>7</v>
      </c>
      <c r="J153" s="59">
        <v>13</v>
      </c>
      <c r="K153" s="59">
        <v>7</v>
      </c>
      <c r="L153" s="59">
        <v>11</v>
      </c>
      <c r="M153" s="59">
        <v>7</v>
      </c>
      <c r="N153" s="59">
        <v>3</v>
      </c>
      <c r="O153" s="59">
        <v>8</v>
      </c>
      <c r="P153" s="59">
        <v>5</v>
      </c>
      <c r="Q153" s="59">
        <v>0</v>
      </c>
      <c r="R153" s="59">
        <v>0</v>
      </c>
      <c r="S153" s="59">
        <v>5</v>
      </c>
      <c r="T153" s="59">
        <v>4</v>
      </c>
      <c r="U153" s="59">
        <v>9</v>
      </c>
      <c r="V153" s="59">
        <v>10</v>
      </c>
      <c r="W153" s="59">
        <v>5</v>
      </c>
      <c r="X153" s="59">
        <v>6</v>
      </c>
      <c r="Y153" s="59">
        <v>5</v>
      </c>
      <c r="Z153" s="59">
        <v>11</v>
      </c>
      <c r="AA153" s="59">
        <v>7</v>
      </c>
      <c r="AB153" s="59"/>
      <c r="AC153" s="59"/>
      <c r="AD153" s="59"/>
      <c r="AE153" s="59"/>
      <c r="AF153" s="59"/>
      <c r="AG153" s="59"/>
      <c r="AH153" s="59"/>
      <c r="AI153" s="59"/>
      <c r="AJ153" s="59"/>
      <c r="AK153" s="59"/>
    </row>
    <row r="154" spans="2:37" x14ac:dyDescent="0.25">
      <c r="F154" t="s">
        <v>261</v>
      </c>
      <c r="H154" t="s">
        <v>1015</v>
      </c>
      <c r="I154" s="59">
        <v>1</v>
      </c>
      <c r="J154" s="59">
        <v>0</v>
      </c>
      <c r="K154" s="59">
        <v>1</v>
      </c>
      <c r="L154" s="59">
        <v>1</v>
      </c>
      <c r="M154" s="59">
        <v>1</v>
      </c>
      <c r="N154" s="59">
        <v>1</v>
      </c>
      <c r="O154" s="59">
        <v>10</v>
      </c>
      <c r="P154" s="59">
        <v>10</v>
      </c>
      <c r="Q154" s="59">
        <v>8</v>
      </c>
      <c r="R154" s="59">
        <v>0</v>
      </c>
      <c r="S154" s="59">
        <v>1</v>
      </c>
      <c r="T154" s="59">
        <v>0</v>
      </c>
      <c r="U154" s="59">
        <v>0</v>
      </c>
      <c r="V154" s="59">
        <v>0</v>
      </c>
      <c r="W154" s="59">
        <v>0</v>
      </c>
      <c r="X154" s="59">
        <v>3</v>
      </c>
      <c r="Y154" s="59">
        <v>14</v>
      </c>
      <c r="Z154" s="59">
        <v>0</v>
      </c>
      <c r="AA154" s="59">
        <v>0</v>
      </c>
      <c r="AB154" s="59"/>
      <c r="AC154" s="59"/>
      <c r="AD154" s="59"/>
      <c r="AE154" s="59"/>
      <c r="AF154" s="59"/>
      <c r="AG154" s="59"/>
      <c r="AH154" s="59"/>
      <c r="AI154" s="59"/>
      <c r="AJ154" s="59"/>
      <c r="AK154" s="59"/>
    </row>
    <row r="155" spans="2:37" x14ac:dyDescent="0.25">
      <c r="F155" t="s">
        <v>262</v>
      </c>
      <c r="H155" t="s">
        <v>1015</v>
      </c>
      <c r="I155" s="59">
        <v>0</v>
      </c>
      <c r="J155" s="59">
        <v>2</v>
      </c>
      <c r="K155" s="59">
        <v>0</v>
      </c>
      <c r="L155" s="59">
        <v>0</v>
      </c>
      <c r="M155" s="59">
        <v>1</v>
      </c>
      <c r="N155" s="59">
        <v>1</v>
      </c>
      <c r="O155" s="59">
        <v>1</v>
      </c>
      <c r="P155" s="59">
        <v>0</v>
      </c>
      <c r="Q155" s="59">
        <v>0</v>
      </c>
      <c r="R155" s="59">
        <v>0</v>
      </c>
      <c r="S155" s="59">
        <v>0</v>
      </c>
      <c r="T155" s="59">
        <v>0</v>
      </c>
      <c r="U155" s="59">
        <v>0</v>
      </c>
      <c r="V155" s="59">
        <v>0</v>
      </c>
      <c r="W155" s="59">
        <v>0</v>
      </c>
      <c r="X155" s="59">
        <v>0</v>
      </c>
      <c r="Y155" s="59">
        <v>0</v>
      </c>
      <c r="Z155" s="59">
        <v>1</v>
      </c>
      <c r="AA155" s="59">
        <v>0</v>
      </c>
      <c r="AB155" s="59"/>
      <c r="AC155" s="59"/>
      <c r="AD155" s="59"/>
      <c r="AE155" s="59"/>
      <c r="AF155" s="59"/>
      <c r="AG155" s="59"/>
      <c r="AH155" s="59"/>
      <c r="AI155" s="59"/>
      <c r="AJ155" s="59"/>
      <c r="AK155" s="59"/>
    </row>
    <row r="156" spans="2:37" x14ac:dyDescent="0.25">
      <c r="F156" t="s">
        <v>263</v>
      </c>
      <c r="H156" t="s">
        <v>1015</v>
      </c>
      <c r="I156" s="59">
        <v>2</v>
      </c>
      <c r="J156" s="59">
        <v>2</v>
      </c>
      <c r="K156" s="59">
        <v>3</v>
      </c>
      <c r="L156" s="59">
        <v>3</v>
      </c>
      <c r="M156" s="59">
        <v>6</v>
      </c>
      <c r="N156" s="59">
        <v>6</v>
      </c>
      <c r="O156" s="59">
        <v>3</v>
      </c>
      <c r="P156" s="59">
        <v>10</v>
      </c>
      <c r="Q156" s="59">
        <v>0</v>
      </c>
      <c r="R156" s="59">
        <v>2</v>
      </c>
      <c r="S156" s="59">
        <v>3</v>
      </c>
      <c r="T156" s="59">
        <v>1</v>
      </c>
      <c r="U156" s="59">
        <v>3</v>
      </c>
      <c r="V156" s="59">
        <v>12</v>
      </c>
      <c r="W156" s="59">
        <v>1</v>
      </c>
      <c r="X156" s="59">
        <v>2</v>
      </c>
      <c r="Y156" s="59">
        <v>0</v>
      </c>
      <c r="Z156" s="59">
        <v>1</v>
      </c>
      <c r="AA156" s="59">
        <v>0</v>
      </c>
      <c r="AB156" s="59"/>
      <c r="AC156" s="59"/>
      <c r="AD156" s="59"/>
      <c r="AE156" s="59"/>
      <c r="AF156" s="59"/>
      <c r="AG156" s="59"/>
      <c r="AH156" s="59"/>
      <c r="AI156" s="59"/>
      <c r="AJ156" s="59"/>
      <c r="AK156" s="59"/>
    </row>
    <row r="157" spans="2:37" x14ac:dyDescent="0.25">
      <c r="F157" t="s">
        <v>264</v>
      </c>
      <c r="H157" t="s">
        <v>1015</v>
      </c>
      <c r="I157" s="59">
        <v>0</v>
      </c>
      <c r="J157" s="59">
        <v>40</v>
      </c>
      <c r="K157" s="59">
        <v>10</v>
      </c>
      <c r="L157" s="59">
        <v>1</v>
      </c>
      <c r="M157" s="59">
        <v>2</v>
      </c>
      <c r="N157" s="59">
        <v>1</v>
      </c>
      <c r="O157" s="59">
        <v>5</v>
      </c>
      <c r="P157" s="59">
        <v>2</v>
      </c>
      <c r="Q157" s="59">
        <v>2</v>
      </c>
      <c r="R157" s="59">
        <v>2</v>
      </c>
      <c r="S157" s="59">
        <v>0</v>
      </c>
      <c r="T157" s="59">
        <v>2</v>
      </c>
      <c r="U157" s="59">
        <v>1</v>
      </c>
      <c r="V157" s="59">
        <v>1</v>
      </c>
      <c r="W157" s="59">
        <v>1</v>
      </c>
      <c r="X157" s="59">
        <v>4</v>
      </c>
      <c r="Y157" s="59">
        <v>5</v>
      </c>
      <c r="Z157" s="59">
        <v>1</v>
      </c>
      <c r="AA157" s="59">
        <v>1</v>
      </c>
      <c r="AB157" s="59"/>
      <c r="AC157" s="59"/>
      <c r="AD157" s="59"/>
      <c r="AE157" s="59"/>
      <c r="AF157" s="59"/>
      <c r="AG157" s="59"/>
      <c r="AH157" s="59"/>
      <c r="AI157" s="59"/>
      <c r="AJ157" s="59"/>
      <c r="AK157" s="59"/>
    </row>
    <row r="158" spans="2:37" x14ac:dyDescent="0.25">
      <c r="F158" t="s">
        <v>265</v>
      </c>
      <c r="H158" t="s">
        <v>1015</v>
      </c>
      <c r="I158" s="59">
        <v>0</v>
      </c>
      <c r="J158" s="59">
        <v>2</v>
      </c>
      <c r="K158" s="59">
        <v>2</v>
      </c>
      <c r="L158" s="59">
        <v>2</v>
      </c>
      <c r="M158" s="59">
        <v>1</v>
      </c>
      <c r="N158" s="59">
        <v>7</v>
      </c>
      <c r="O158" s="59">
        <v>8</v>
      </c>
      <c r="P158" s="59">
        <v>12</v>
      </c>
      <c r="Q158" s="59">
        <v>31</v>
      </c>
      <c r="R158" s="59">
        <v>6</v>
      </c>
      <c r="S158" s="59">
        <v>3</v>
      </c>
      <c r="T158" s="59">
        <v>17</v>
      </c>
      <c r="U158" s="59">
        <v>0</v>
      </c>
      <c r="V158" s="59">
        <v>20</v>
      </c>
      <c r="W158" s="59">
        <v>14</v>
      </c>
      <c r="X158" s="59">
        <v>24</v>
      </c>
      <c r="Y158" s="59">
        <v>28</v>
      </c>
      <c r="Z158" s="59">
        <v>10</v>
      </c>
      <c r="AA158" s="59">
        <v>13</v>
      </c>
      <c r="AB158" s="59"/>
      <c r="AC158" s="59"/>
      <c r="AD158" s="59"/>
      <c r="AE158" s="59"/>
      <c r="AF158" s="59"/>
      <c r="AG158" s="59"/>
      <c r="AH158" s="59"/>
      <c r="AI158" s="59"/>
      <c r="AJ158" s="59"/>
      <c r="AK158" s="59"/>
    </row>
    <row r="159" spans="2:37" x14ac:dyDescent="0.25">
      <c r="F159" t="s">
        <v>271</v>
      </c>
      <c r="H159" t="s">
        <v>1015</v>
      </c>
      <c r="I159" s="59">
        <v>0</v>
      </c>
      <c r="J159" s="59">
        <v>1</v>
      </c>
      <c r="K159" s="59">
        <v>0</v>
      </c>
      <c r="L159" s="59">
        <v>2</v>
      </c>
      <c r="M159" s="59">
        <v>2</v>
      </c>
      <c r="N159" s="59">
        <v>6</v>
      </c>
      <c r="O159" s="59">
        <v>2</v>
      </c>
      <c r="P159" s="59">
        <v>1</v>
      </c>
      <c r="Q159" s="59">
        <v>1</v>
      </c>
      <c r="R159" s="59">
        <v>0</v>
      </c>
      <c r="S159" s="59">
        <v>0</v>
      </c>
      <c r="T159" s="59">
        <v>1</v>
      </c>
      <c r="U159" s="59">
        <v>0</v>
      </c>
      <c r="V159" s="59">
        <v>1</v>
      </c>
      <c r="W159" s="59">
        <v>2</v>
      </c>
      <c r="X159" s="59">
        <v>3</v>
      </c>
      <c r="Y159" s="59">
        <v>2</v>
      </c>
      <c r="Z159" s="59">
        <v>2</v>
      </c>
      <c r="AA159" s="59">
        <v>1</v>
      </c>
      <c r="AB159" s="59"/>
      <c r="AC159" s="59"/>
      <c r="AD159" s="59"/>
      <c r="AE159" s="59"/>
      <c r="AF159" s="59"/>
      <c r="AG159" s="59"/>
      <c r="AH159" s="59"/>
      <c r="AI159" s="59"/>
      <c r="AJ159" s="59"/>
      <c r="AK159" s="59"/>
    </row>
    <row r="160" spans="2:37" s="16" customFormat="1" x14ac:dyDescent="0.25">
      <c r="B160" s="17"/>
      <c r="D160" s="16" t="s">
        <v>3</v>
      </c>
      <c r="H160" s="16" t="s">
        <v>1015</v>
      </c>
      <c r="I160" s="61">
        <f t="shared" ref="I160:AK160" si="82">SUM(I161:I165)</f>
        <v>28</v>
      </c>
      <c r="J160" s="61">
        <f t="shared" si="82"/>
        <v>60</v>
      </c>
      <c r="K160" s="61">
        <f t="shared" si="82"/>
        <v>132</v>
      </c>
      <c r="L160" s="61">
        <f t="shared" si="82"/>
        <v>76</v>
      </c>
      <c r="M160" s="61">
        <f t="shared" si="82"/>
        <v>109</v>
      </c>
      <c r="N160" s="61">
        <f t="shared" si="82"/>
        <v>87</v>
      </c>
      <c r="O160" s="61">
        <f t="shared" si="82"/>
        <v>80</v>
      </c>
      <c r="P160" s="61">
        <f t="shared" si="82"/>
        <v>81</v>
      </c>
      <c r="Q160" s="61">
        <f t="shared" si="82"/>
        <v>87</v>
      </c>
      <c r="R160" s="61">
        <f t="shared" si="82"/>
        <v>41</v>
      </c>
      <c r="S160" s="61">
        <f t="shared" si="82"/>
        <v>31</v>
      </c>
      <c r="T160" s="61">
        <f t="shared" si="82"/>
        <v>28</v>
      </c>
      <c r="U160" s="61">
        <f t="shared" si="82"/>
        <v>46</v>
      </c>
      <c r="V160" s="61">
        <f t="shared" si="82"/>
        <v>49</v>
      </c>
      <c r="W160" s="61">
        <f t="shared" si="82"/>
        <v>53</v>
      </c>
      <c r="X160" s="61">
        <f t="shared" si="82"/>
        <v>57</v>
      </c>
      <c r="Y160" s="61">
        <f t="shared" si="82"/>
        <v>57</v>
      </c>
      <c r="Z160" s="61">
        <f t="shared" si="82"/>
        <v>76</v>
      </c>
      <c r="AA160" s="61">
        <f t="shared" si="82"/>
        <v>58</v>
      </c>
      <c r="AB160" s="61">
        <f t="shared" si="82"/>
        <v>0</v>
      </c>
      <c r="AC160" s="61">
        <f t="shared" si="82"/>
        <v>0</v>
      </c>
      <c r="AD160" s="61">
        <f t="shared" si="82"/>
        <v>0</v>
      </c>
      <c r="AE160" s="61">
        <f t="shared" si="82"/>
        <v>0</v>
      </c>
      <c r="AF160" s="61">
        <f t="shared" si="82"/>
        <v>0</v>
      </c>
      <c r="AG160" s="61">
        <f t="shared" si="82"/>
        <v>0</v>
      </c>
      <c r="AH160" s="61">
        <f t="shared" si="82"/>
        <v>0</v>
      </c>
      <c r="AI160" s="61">
        <f t="shared" si="82"/>
        <v>0</v>
      </c>
      <c r="AJ160" s="61">
        <f t="shared" si="82"/>
        <v>0</v>
      </c>
      <c r="AK160" s="61">
        <f t="shared" si="82"/>
        <v>0</v>
      </c>
    </row>
    <row r="161" spans="2:37" x14ac:dyDescent="0.25">
      <c r="F161" t="s">
        <v>269</v>
      </c>
      <c r="H161" t="s">
        <v>1015</v>
      </c>
      <c r="I161" s="59">
        <v>2</v>
      </c>
      <c r="J161" s="59">
        <v>1</v>
      </c>
      <c r="K161" s="59">
        <v>5</v>
      </c>
      <c r="L161" s="59">
        <v>9</v>
      </c>
      <c r="M161" s="59">
        <v>8</v>
      </c>
      <c r="N161" s="59">
        <v>23</v>
      </c>
      <c r="O161" s="59">
        <v>8</v>
      </c>
      <c r="P161" s="59">
        <v>30</v>
      </c>
      <c r="Q161" s="59">
        <v>22</v>
      </c>
      <c r="R161" s="59">
        <v>10</v>
      </c>
      <c r="S161" s="59">
        <v>4</v>
      </c>
      <c r="T161" s="59">
        <v>4</v>
      </c>
      <c r="U161" s="59">
        <v>10</v>
      </c>
      <c r="V161" s="59">
        <v>6</v>
      </c>
      <c r="W161" s="59">
        <v>15</v>
      </c>
      <c r="X161" s="59">
        <v>10</v>
      </c>
      <c r="Y161" s="59">
        <v>9</v>
      </c>
      <c r="Z161" s="59">
        <v>31</v>
      </c>
      <c r="AA161" s="59">
        <v>19</v>
      </c>
      <c r="AB161" s="59"/>
      <c r="AC161" s="59"/>
      <c r="AD161" s="59"/>
      <c r="AE161" s="59"/>
      <c r="AF161" s="59"/>
      <c r="AG161" s="59"/>
      <c r="AH161" s="59"/>
      <c r="AI161" s="59"/>
      <c r="AJ161" s="59"/>
      <c r="AK161" s="59"/>
    </row>
    <row r="162" spans="2:37" x14ac:dyDescent="0.25">
      <c r="F162" t="s">
        <v>266</v>
      </c>
      <c r="H162" t="s">
        <v>1015</v>
      </c>
      <c r="I162" s="59">
        <v>7</v>
      </c>
      <c r="J162" s="59">
        <v>18</v>
      </c>
      <c r="K162" s="59">
        <v>14</v>
      </c>
      <c r="L162" s="59">
        <v>32</v>
      </c>
      <c r="M162" s="59">
        <v>65</v>
      </c>
      <c r="N162" s="59">
        <v>43</v>
      </c>
      <c r="O162" s="59">
        <v>35</v>
      </c>
      <c r="P162" s="59">
        <v>31</v>
      </c>
      <c r="Q162" s="59">
        <v>52</v>
      </c>
      <c r="R162" s="59">
        <v>22</v>
      </c>
      <c r="S162" s="59">
        <v>20</v>
      </c>
      <c r="T162" s="59">
        <v>15</v>
      </c>
      <c r="U162" s="59">
        <v>23</v>
      </c>
      <c r="V162" s="59">
        <v>15</v>
      </c>
      <c r="W162" s="59">
        <v>22</v>
      </c>
      <c r="X162" s="59">
        <v>30</v>
      </c>
      <c r="Y162" s="59">
        <v>27</v>
      </c>
      <c r="Z162" s="59">
        <v>23</v>
      </c>
      <c r="AA162" s="59">
        <v>32</v>
      </c>
      <c r="AB162" s="59"/>
      <c r="AC162" s="59"/>
      <c r="AD162" s="59"/>
      <c r="AE162" s="59"/>
      <c r="AF162" s="59"/>
      <c r="AG162" s="59"/>
      <c r="AH162" s="59"/>
      <c r="AI162" s="59"/>
      <c r="AJ162" s="59"/>
      <c r="AK162" s="59"/>
    </row>
    <row r="163" spans="2:37" x14ac:dyDescent="0.25">
      <c r="F163" t="s">
        <v>267</v>
      </c>
      <c r="H163" t="s">
        <v>1015</v>
      </c>
      <c r="I163" s="59">
        <v>10</v>
      </c>
      <c r="J163" s="59">
        <v>32</v>
      </c>
      <c r="K163" s="59">
        <v>101</v>
      </c>
      <c r="L163" s="59">
        <v>21</v>
      </c>
      <c r="M163" s="59">
        <v>21</v>
      </c>
      <c r="N163" s="59">
        <v>13</v>
      </c>
      <c r="O163" s="59">
        <v>28</v>
      </c>
      <c r="P163" s="59">
        <v>10</v>
      </c>
      <c r="Q163" s="59">
        <v>4</v>
      </c>
      <c r="R163" s="59">
        <v>0</v>
      </c>
      <c r="S163" s="59">
        <v>3</v>
      </c>
      <c r="T163" s="59">
        <v>4</v>
      </c>
      <c r="U163" s="59">
        <v>4</v>
      </c>
      <c r="V163" s="59">
        <v>14</v>
      </c>
      <c r="W163" s="59">
        <v>5</v>
      </c>
      <c r="X163" s="59">
        <v>1</v>
      </c>
      <c r="Y163" s="59">
        <v>7</v>
      </c>
      <c r="Z163" s="59">
        <v>2</v>
      </c>
      <c r="AA163" s="59">
        <v>2</v>
      </c>
      <c r="AB163" s="59"/>
      <c r="AC163" s="59"/>
      <c r="AD163" s="59"/>
      <c r="AE163" s="59"/>
      <c r="AF163" s="59"/>
      <c r="AG163" s="59"/>
      <c r="AH163" s="59"/>
      <c r="AI163" s="59"/>
      <c r="AJ163" s="59"/>
      <c r="AK163" s="59"/>
    </row>
    <row r="164" spans="2:37" x14ac:dyDescent="0.25">
      <c r="F164" t="s">
        <v>270</v>
      </c>
      <c r="H164" t="s">
        <v>1015</v>
      </c>
      <c r="I164" s="59">
        <v>2</v>
      </c>
      <c r="J164" s="59">
        <v>1</v>
      </c>
      <c r="K164" s="59">
        <v>1</v>
      </c>
      <c r="L164" s="59">
        <v>3</v>
      </c>
      <c r="M164" s="59">
        <v>6</v>
      </c>
      <c r="N164" s="59">
        <v>3</v>
      </c>
      <c r="O164" s="59">
        <v>3</v>
      </c>
      <c r="P164" s="59">
        <v>2</v>
      </c>
      <c r="Q164" s="59">
        <v>4</v>
      </c>
      <c r="R164" s="59">
        <v>2</v>
      </c>
      <c r="S164" s="59">
        <v>1</v>
      </c>
      <c r="T164" s="59">
        <v>0</v>
      </c>
      <c r="U164" s="59">
        <v>4</v>
      </c>
      <c r="V164" s="59">
        <v>4</v>
      </c>
      <c r="W164" s="59">
        <v>2</v>
      </c>
      <c r="X164" s="59">
        <v>2</v>
      </c>
      <c r="Y164" s="59">
        <v>1</v>
      </c>
      <c r="Z164" s="59">
        <v>3</v>
      </c>
      <c r="AA164" s="59">
        <v>2</v>
      </c>
      <c r="AB164" s="59"/>
      <c r="AC164" s="59"/>
      <c r="AD164" s="59"/>
      <c r="AE164" s="59"/>
      <c r="AF164" s="59"/>
      <c r="AG164" s="59"/>
      <c r="AH164" s="59"/>
      <c r="AI164" s="59"/>
      <c r="AJ164" s="59"/>
      <c r="AK164" s="59"/>
    </row>
    <row r="165" spans="2:37" x14ac:dyDescent="0.25">
      <c r="F165" t="s">
        <v>268</v>
      </c>
      <c r="H165" t="s">
        <v>1015</v>
      </c>
      <c r="I165" s="59">
        <v>7</v>
      </c>
      <c r="J165" s="59">
        <v>8</v>
      </c>
      <c r="K165" s="59">
        <v>11</v>
      </c>
      <c r="L165" s="59">
        <v>11</v>
      </c>
      <c r="M165" s="59">
        <v>9</v>
      </c>
      <c r="N165" s="59">
        <v>5</v>
      </c>
      <c r="O165" s="59">
        <v>6</v>
      </c>
      <c r="P165" s="59">
        <v>8</v>
      </c>
      <c r="Q165" s="59">
        <v>5</v>
      </c>
      <c r="R165" s="59">
        <v>7</v>
      </c>
      <c r="S165" s="59">
        <v>3</v>
      </c>
      <c r="T165" s="59">
        <v>5</v>
      </c>
      <c r="U165" s="59">
        <v>5</v>
      </c>
      <c r="V165" s="59">
        <v>10</v>
      </c>
      <c r="W165" s="59">
        <v>9</v>
      </c>
      <c r="X165" s="59">
        <v>14</v>
      </c>
      <c r="Y165" s="59">
        <v>13</v>
      </c>
      <c r="Z165" s="59">
        <v>17</v>
      </c>
      <c r="AA165" s="59">
        <v>3</v>
      </c>
      <c r="AB165" s="59"/>
      <c r="AC165" s="59"/>
      <c r="AD165" s="59"/>
      <c r="AE165" s="59"/>
      <c r="AF165" s="59"/>
      <c r="AG165" s="59"/>
      <c r="AH165" s="59"/>
      <c r="AI165" s="59"/>
      <c r="AJ165" s="59"/>
      <c r="AK165" s="59"/>
    </row>
    <row r="166" spans="2:37" s="13" customFormat="1" x14ac:dyDescent="0.25">
      <c r="B166" s="14"/>
      <c r="C166" s="15" t="s">
        <v>1072</v>
      </c>
      <c r="H166" s="13" t="s">
        <v>1017</v>
      </c>
      <c r="I166" s="62">
        <f t="shared" ref="I166:AK166" si="83">SUM(I168:I179,I181:I185)</f>
        <v>155335</v>
      </c>
      <c r="J166" s="62">
        <f t="shared" si="83"/>
        <v>240551</v>
      </c>
      <c r="K166" s="62">
        <f t="shared" si="83"/>
        <v>227700</v>
      </c>
      <c r="L166" s="62">
        <f t="shared" si="83"/>
        <v>293035</v>
      </c>
      <c r="M166" s="62">
        <f t="shared" si="83"/>
        <v>327035</v>
      </c>
      <c r="N166" s="62">
        <f t="shared" si="83"/>
        <v>431412</v>
      </c>
      <c r="O166" s="62">
        <f t="shared" si="83"/>
        <v>127941</v>
      </c>
      <c r="P166" s="62">
        <f t="shared" si="83"/>
        <v>233149</v>
      </c>
      <c r="Q166" s="62">
        <f t="shared" si="83"/>
        <v>124148</v>
      </c>
      <c r="R166" s="62">
        <f t="shared" si="83"/>
        <v>68484</v>
      </c>
      <c r="S166" s="62">
        <f t="shared" si="83"/>
        <v>75414</v>
      </c>
      <c r="T166" s="62">
        <f t="shared" si="83"/>
        <v>45495</v>
      </c>
      <c r="U166" s="62">
        <f t="shared" si="83"/>
        <v>175176</v>
      </c>
      <c r="V166" s="62">
        <f t="shared" si="83"/>
        <v>52083</v>
      </c>
      <c r="W166" s="62">
        <f t="shared" si="83"/>
        <v>52288</v>
      </c>
      <c r="X166" s="62">
        <f t="shared" si="83"/>
        <v>178154</v>
      </c>
      <c r="Y166" s="62">
        <f t="shared" si="83"/>
        <v>146589</v>
      </c>
      <c r="Z166" s="62">
        <f t="shared" si="83"/>
        <v>120336</v>
      </c>
      <c r="AA166" s="62">
        <f t="shared" si="83"/>
        <v>104806</v>
      </c>
      <c r="AB166" s="62">
        <f t="shared" si="83"/>
        <v>0</v>
      </c>
      <c r="AC166" s="62">
        <f t="shared" si="83"/>
        <v>0</v>
      </c>
      <c r="AD166" s="62">
        <f t="shared" si="83"/>
        <v>0</v>
      </c>
      <c r="AE166" s="62">
        <f t="shared" si="83"/>
        <v>0</v>
      </c>
      <c r="AF166" s="62">
        <f t="shared" si="83"/>
        <v>0</v>
      </c>
      <c r="AG166" s="62">
        <f t="shared" si="83"/>
        <v>0</v>
      </c>
      <c r="AH166" s="62">
        <f t="shared" si="83"/>
        <v>0</v>
      </c>
      <c r="AI166" s="62">
        <f t="shared" si="83"/>
        <v>0</v>
      </c>
      <c r="AJ166" s="62">
        <f t="shared" si="83"/>
        <v>0</v>
      </c>
      <c r="AK166" s="62">
        <f t="shared" si="83"/>
        <v>0</v>
      </c>
    </row>
    <row r="167" spans="2:37" s="16" customFormat="1" x14ac:dyDescent="0.25">
      <c r="B167" s="17"/>
      <c r="D167" s="16" t="s">
        <v>2</v>
      </c>
      <c r="H167" s="16" t="s">
        <v>1017</v>
      </c>
      <c r="I167" s="61">
        <f t="shared" ref="I167:AK167" si="84">SUM(I168:I179)</f>
        <v>130854</v>
      </c>
      <c r="J167" s="61">
        <f t="shared" si="84"/>
        <v>226565</v>
      </c>
      <c r="K167" s="61">
        <f t="shared" si="84"/>
        <v>198596</v>
      </c>
      <c r="L167" s="61">
        <f t="shared" si="84"/>
        <v>151420</v>
      </c>
      <c r="M167" s="61">
        <f t="shared" si="84"/>
        <v>279788</v>
      </c>
      <c r="N167" s="61">
        <f t="shared" si="84"/>
        <v>299631</v>
      </c>
      <c r="O167" s="61">
        <f t="shared" si="84"/>
        <v>111318</v>
      </c>
      <c r="P167" s="61">
        <f t="shared" si="84"/>
        <v>217783</v>
      </c>
      <c r="Q167" s="61">
        <f t="shared" si="84"/>
        <v>99318</v>
      </c>
      <c r="R167" s="61">
        <f t="shared" si="84"/>
        <v>13072</v>
      </c>
      <c r="S167" s="61">
        <f t="shared" si="84"/>
        <v>69979</v>
      </c>
      <c r="T167" s="61">
        <f t="shared" si="84"/>
        <v>21471</v>
      </c>
      <c r="U167" s="61">
        <f t="shared" si="84"/>
        <v>166940</v>
      </c>
      <c r="V167" s="61">
        <f t="shared" si="84"/>
        <v>29765</v>
      </c>
      <c r="W167" s="61">
        <f t="shared" si="84"/>
        <v>53216</v>
      </c>
      <c r="X167" s="61">
        <f t="shared" si="84"/>
        <v>173749</v>
      </c>
      <c r="Y167" s="61">
        <f t="shared" si="84"/>
        <v>140534</v>
      </c>
      <c r="Z167" s="61">
        <f t="shared" si="84"/>
        <v>22987</v>
      </c>
      <c r="AA167" s="61">
        <f t="shared" si="84"/>
        <v>77882</v>
      </c>
      <c r="AB167" s="61">
        <f t="shared" si="84"/>
        <v>0</v>
      </c>
      <c r="AC167" s="61">
        <f t="shared" si="84"/>
        <v>0</v>
      </c>
      <c r="AD167" s="61">
        <f t="shared" si="84"/>
        <v>0</v>
      </c>
      <c r="AE167" s="61">
        <f t="shared" si="84"/>
        <v>0</v>
      </c>
      <c r="AF167" s="61">
        <f t="shared" si="84"/>
        <v>0</v>
      </c>
      <c r="AG167" s="61">
        <f t="shared" si="84"/>
        <v>0</v>
      </c>
      <c r="AH167" s="61">
        <f t="shared" si="84"/>
        <v>0</v>
      </c>
      <c r="AI167" s="61">
        <f t="shared" si="84"/>
        <v>0</v>
      </c>
      <c r="AJ167" s="61">
        <f t="shared" si="84"/>
        <v>0</v>
      </c>
      <c r="AK167" s="61">
        <f t="shared" si="84"/>
        <v>0</v>
      </c>
    </row>
    <row r="168" spans="2:37" x14ac:dyDescent="0.25">
      <c r="E168" t="s">
        <v>256</v>
      </c>
      <c r="H168" t="s">
        <v>1017</v>
      </c>
      <c r="I168" s="59">
        <v>0</v>
      </c>
      <c r="J168" s="59">
        <v>1096</v>
      </c>
      <c r="K168" s="59">
        <v>0</v>
      </c>
      <c r="L168" s="59">
        <v>0</v>
      </c>
      <c r="M168" s="59">
        <v>40</v>
      </c>
      <c r="N168" s="59">
        <v>360</v>
      </c>
      <c r="O168" s="59">
        <v>5193</v>
      </c>
      <c r="P168" s="59">
        <v>41737</v>
      </c>
      <c r="Q168" s="59">
        <v>0</v>
      </c>
      <c r="R168" s="59">
        <v>0</v>
      </c>
      <c r="S168" s="59">
        <v>0</v>
      </c>
      <c r="T168" s="59">
        <v>0</v>
      </c>
      <c r="U168" s="59">
        <v>-675</v>
      </c>
      <c r="V168" s="59">
        <v>0</v>
      </c>
      <c r="W168" s="59">
        <v>961</v>
      </c>
      <c r="X168" s="59">
        <v>0</v>
      </c>
      <c r="Y168" s="59">
        <v>0</v>
      </c>
      <c r="Z168" s="59">
        <v>-1198</v>
      </c>
      <c r="AA168" s="59">
        <v>0</v>
      </c>
      <c r="AB168" s="59"/>
      <c r="AC168" s="59"/>
      <c r="AD168" s="59"/>
      <c r="AE168" s="59"/>
      <c r="AF168" s="59"/>
      <c r="AG168" s="59"/>
      <c r="AH168" s="59"/>
      <c r="AI168" s="59"/>
      <c r="AJ168" s="59"/>
      <c r="AK168" s="59"/>
    </row>
    <row r="169" spans="2:37" x14ac:dyDescent="0.25">
      <c r="E169" t="s">
        <v>116</v>
      </c>
      <c r="H169" t="s">
        <v>1017</v>
      </c>
      <c r="I169" s="59">
        <v>12431</v>
      </c>
      <c r="J169" s="59">
        <v>67210</v>
      </c>
      <c r="K169" s="59">
        <v>52420</v>
      </c>
      <c r="L169" s="59">
        <v>121443</v>
      </c>
      <c r="M169" s="59">
        <v>151461</v>
      </c>
      <c r="N169" s="59">
        <v>209268</v>
      </c>
      <c r="O169" s="59">
        <v>59160</v>
      </c>
      <c r="P169" s="59">
        <v>1400</v>
      </c>
      <c r="Q169" s="59">
        <v>1445</v>
      </c>
      <c r="R169" s="59">
        <v>4752</v>
      </c>
      <c r="S169" s="59">
        <v>16953</v>
      </c>
      <c r="T169" s="59">
        <v>10741</v>
      </c>
      <c r="U169" s="59">
        <v>56693</v>
      </c>
      <c r="V169" s="59">
        <v>14831</v>
      </c>
      <c r="W169" s="59">
        <v>17964</v>
      </c>
      <c r="X169" s="59">
        <v>157741</v>
      </c>
      <c r="Y169" s="59">
        <v>13092</v>
      </c>
      <c r="Z169" s="59">
        <v>6084</v>
      </c>
      <c r="AA169" s="59">
        <v>34243</v>
      </c>
      <c r="AB169" s="59"/>
      <c r="AC169" s="59"/>
      <c r="AD169" s="59"/>
      <c r="AE169" s="59"/>
      <c r="AF169" s="59"/>
      <c r="AG169" s="59"/>
      <c r="AH169" s="59"/>
      <c r="AI169" s="59"/>
      <c r="AJ169" s="59"/>
      <c r="AK169" s="59"/>
    </row>
    <row r="170" spans="2:37" x14ac:dyDescent="0.25">
      <c r="E170" t="s">
        <v>257</v>
      </c>
      <c r="H170" t="s">
        <v>1017</v>
      </c>
      <c r="I170" s="59">
        <v>0</v>
      </c>
      <c r="J170" s="59">
        <v>0</v>
      </c>
      <c r="K170" s="59">
        <v>3774</v>
      </c>
      <c r="L170" s="59">
        <v>0</v>
      </c>
      <c r="M170" s="59">
        <v>49145</v>
      </c>
      <c r="N170" s="59">
        <v>0</v>
      </c>
      <c r="O170" s="59">
        <v>5500</v>
      </c>
      <c r="P170" s="59">
        <v>0</v>
      </c>
      <c r="Q170" s="59">
        <v>384</v>
      </c>
      <c r="R170" s="59">
        <v>0</v>
      </c>
      <c r="S170" s="59">
        <v>0</v>
      </c>
      <c r="T170" s="59">
        <v>0</v>
      </c>
      <c r="U170" s="59">
        <v>393</v>
      </c>
      <c r="V170" s="59">
        <v>0</v>
      </c>
      <c r="W170" s="59">
        <v>888</v>
      </c>
      <c r="X170" s="59">
        <v>150</v>
      </c>
      <c r="Y170" s="59">
        <v>0</v>
      </c>
      <c r="Z170" s="59">
        <v>2124</v>
      </c>
      <c r="AA170" s="59">
        <v>29545</v>
      </c>
      <c r="AB170" s="59"/>
      <c r="AC170" s="59"/>
      <c r="AD170" s="59"/>
      <c r="AE170" s="59"/>
      <c r="AF170" s="59"/>
      <c r="AG170" s="59"/>
      <c r="AH170" s="59"/>
      <c r="AI170" s="59"/>
      <c r="AJ170" s="59"/>
      <c r="AK170" s="59"/>
    </row>
    <row r="171" spans="2:37" x14ac:dyDescent="0.25">
      <c r="E171" t="s">
        <v>258</v>
      </c>
      <c r="H171" t="s">
        <v>1017</v>
      </c>
      <c r="I171" s="59">
        <v>10671</v>
      </c>
      <c r="J171" s="59">
        <v>36453</v>
      </c>
      <c r="K171" s="59">
        <v>8765</v>
      </c>
      <c r="L171" s="59">
        <v>16500</v>
      </c>
      <c r="M171" s="59">
        <v>36963</v>
      </c>
      <c r="N171" s="59">
        <v>13463</v>
      </c>
      <c r="O171" s="59">
        <v>13400</v>
      </c>
      <c r="P171" s="59">
        <v>47394</v>
      </c>
      <c r="Q171" s="59">
        <v>0</v>
      </c>
      <c r="R171" s="59">
        <v>4086</v>
      </c>
      <c r="S171" s="59">
        <v>20606</v>
      </c>
      <c r="T171" s="59">
        <v>0</v>
      </c>
      <c r="U171" s="59">
        <v>55460</v>
      </c>
      <c r="V171" s="59">
        <v>5892</v>
      </c>
      <c r="W171" s="59">
        <v>8513</v>
      </c>
      <c r="X171" s="59">
        <v>165</v>
      </c>
      <c r="Y171" s="59">
        <v>5</v>
      </c>
      <c r="Z171" s="59">
        <v>9797</v>
      </c>
      <c r="AA171" s="59">
        <v>0</v>
      </c>
      <c r="AB171" s="59"/>
      <c r="AC171" s="59"/>
      <c r="AD171" s="59"/>
      <c r="AE171" s="59"/>
      <c r="AF171" s="59"/>
      <c r="AG171" s="59"/>
      <c r="AH171" s="59"/>
      <c r="AI171" s="59"/>
      <c r="AJ171" s="59"/>
      <c r="AK171" s="59"/>
    </row>
    <row r="172" spans="2:37" x14ac:dyDescent="0.25">
      <c r="E172" t="s">
        <v>259</v>
      </c>
      <c r="H172" t="s">
        <v>1017</v>
      </c>
      <c r="I172" s="59">
        <v>100000</v>
      </c>
      <c r="J172" s="59">
        <v>84123</v>
      </c>
      <c r="K172" s="59">
        <v>21076</v>
      </c>
      <c r="L172" s="59">
        <v>10912</v>
      </c>
      <c r="M172" s="59">
        <v>41295</v>
      </c>
      <c r="N172" s="59">
        <v>5998</v>
      </c>
      <c r="O172" s="59">
        <v>0</v>
      </c>
      <c r="P172" s="59">
        <v>0</v>
      </c>
      <c r="Q172" s="59">
        <v>8360</v>
      </c>
      <c r="R172" s="59">
        <v>0</v>
      </c>
      <c r="S172" s="59">
        <v>15476</v>
      </c>
      <c r="T172" s="59">
        <v>10359</v>
      </c>
      <c r="U172" s="59">
        <v>48068</v>
      </c>
      <c r="V172" s="59">
        <v>0</v>
      </c>
      <c r="W172" s="59">
        <v>9902</v>
      </c>
      <c r="X172" s="59">
        <v>10077</v>
      </c>
      <c r="Y172" s="59">
        <v>6626</v>
      </c>
      <c r="Z172" s="59">
        <v>1610</v>
      </c>
      <c r="AA172" s="59">
        <v>8456</v>
      </c>
      <c r="AB172" s="59"/>
      <c r="AC172" s="59"/>
      <c r="AD172" s="59"/>
      <c r="AE172" s="59"/>
      <c r="AF172" s="59"/>
      <c r="AG172" s="59"/>
      <c r="AH172" s="59"/>
      <c r="AI172" s="59"/>
      <c r="AJ172" s="59"/>
      <c r="AK172" s="59"/>
    </row>
    <row r="173" spans="2:37" x14ac:dyDescent="0.25">
      <c r="E173" t="s">
        <v>260</v>
      </c>
      <c r="H173" t="s">
        <v>1017</v>
      </c>
      <c r="I173" s="59">
        <v>0</v>
      </c>
      <c r="J173" s="59">
        <v>0</v>
      </c>
      <c r="K173" s="59">
        <v>0</v>
      </c>
      <c r="L173" s="59">
        <v>0</v>
      </c>
      <c r="M173" s="59">
        <v>0</v>
      </c>
      <c r="N173" s="59">
        <v>0</v>
      </c>
      <c r="O173" s="59">
        <v>0</v>
      </c>
      <c r="P173" s="59">
        <v>0</v>
      </c>
      <c r="Q173" s="59">
        <v>0</v>
      </c>
      <c r="R173" s="59">
        <v>0</v>
      </c>
      <c r="S173" s="59">
        <v>3000</v>
      </c>
      <c r="T173" s="59">
        <v>0</v>
      </c>
      <c r="U173" s="59">
        <v>0</v>
      </c>
      <c r="V173" s="59">
        <v>0</v>
      </c>
      <c r="W173" s="59">
        <v>0</v>
      </c>
      <c r="X173" s="59">
        <v>200</v>
      </c>
      <c r="Y173" s="59">
        <v>0</v>
      </c>
      <c r="Z173" s="59">
        <v>0</v>
      </c>
      <c r="AA173" s="59">
        <v>0</v>
      </c>
      <c r="AB173" s="59"/>
      <c r="AC173" s="59"/>
      <c r="AD173" s="59"/>
      <c r="AE173" s="59"/>
      <c r="AF173" s="59"/>
      <c r="AG173" s="59"/>
      <c r="AH173" s="59"/>
      <c r="AI173" s="59"/>
      <c r="AJ173" s="59"/>
      <c r="AK173" s="59"/>
    </row>
    <row r="174" spans="2:37" x14ac:dyDescent="0.25">
      <c r="E174" t="s">
        <v>261</v>
      </c>
      <c r="H174" t="s">
        <v>1017</v>
      </c>
      <c r="I174" s="59">
        <v>2344</v>
      </c>
      <c r="J174" s="59">
        <v>17573</v>
      </c>
      <c r="K174" s="59">
        <v>102459</v>
      </c>
      <c r="L174" s="59">
        <v>272</v>
      </c>
      <c r="M174" s="59">
        <v>584</v>
      </c>
      <c r="N174" s="59">
        <v>34147</v>
      </c>
      <c r="O174" s="59">
        <v>16917</v>
      </c>
      <c r="P174" s="59">
        <v>22280</v>
      </c>
      <c r="Q174" s="59">
        <v>25001</v>
      </c>
      <c r="R174" s="59">
        <v>0</v>
      </c>
      <c r="S174" s="59">
        <v>12951</v>
      </c>
      <c r="T174" s="59">
        <v>0</v>
      </c>
      <c r="U174" s="59">
        <v>25</v>
      </c>
      <c r="V174" s="59">
        <v>7936</v>
      </c>
      <c r="W174" s="59">
        <v>8840</v>
      </c>
      <c r="X174" s="59">
        <v>5300</v>
      </c>
      <c r="Y174" s="59">
        <v>90409</v>
      </c>
      <c r="Z174" s="59">
        <v>3881</v>
      </c>
      <c r="AA174" s="59">
        <v>240</v>
      </c>
      <c r="AB174" s="59"/>
      <c r="AC174" s="59"/>
      <c r="AD174" s="59"/>
      <c r="AE174" s="59"/>
      <c r="AF174" s="59"/>
      <c r="AG174" s="59"/>
      <c r="AH174" s="59"/>
      <c r="AI174" s="59"/>
      <c r="AJ174" s="59"/>
      <c r="AK174" s="59"/>
    </row>
    <row r="175" spans="2:37" x14ac:dyDescent="0.25">
      <c r="E175" t="s">
        <v>262</v>
      </c>
      <c r="H175" t="s">
        <v>1017</v>
      </c>
      <c r="I175" s="59">
        <v>0</v>
      </c>
      <c r="J175" s="59">
        <v>7155</v>
      </c>
      <c r="K175" s="59">
        <v>0</v>
      </c>
      <c r="L175" s="59">
        <v>0</v>
      </c>
      <c r="M175" s="59">
        <v>0</v>
      </c>
      <c r="N175" s="59">
        <v>0</v>
      </c>
      <c r="O175" s="59">
        <v>0</v>
      </c>
      <c r="P175" s="59">
        <v>0</v>
      </c>
      <c r="Q175" s="59">
        <v>0</v>
      </c>
      <c r="R175" s="59">
        <v>0</v>
      </c>
      <c r="S175" s="59">
        <v>0</v>
      </c>
      <c r="T175" s="59">
        <v>0</v>
      </c>
      <c r="U175" s="59">
        <v>0</v>
      </c>
      <c r="V175" s="59">
        <v>216</v>
      </c>
      <c r="W175" s="59">
        <v>451</v>
      </c>
      <c r="X175" s="59">
        <v>0</v>
      </c>
      <c r="Y175" s="59">
        <v>0</v>
      </c>
      <c r="Z175" s="59">
        <v>0</v>
      </c>
      <c r="AA175" s="59">
        <v>604</v>
      </c>
      <c r="AB175" s="59"/>
      <c r="AC175" s="59"/>
      <c r="AD175" s="59"/>
      <c r="AE175" s="59"/>
      <c r="AF175" s="59"/>
      <c r="AG175" s="59"/>
      <c r="AH175" s="59"/>
      <c r="AI175" s="59"/>
      <c r="AJ175" s="59"/>
      <c r="AK175" s="59"/>
    </row>
    <row r="176" spans="2:37" x14ac:dyDescent="0.25">
      <c r="E176" t="s">
        <v>263</v>
      </c>
      <c r="H176" t="s">
        <v>1017</v>
      </c>
      <c r="I176" s="59">
        <v>5408</v>
      </c>
      <c r="J176" s="59">
        <v>0</v>
      </c>
      <c r="K176" s="59">
        <v>500</v>
      </c>
      <c r="L176" s="59">
        <v>0</v>
      </c>
      <c r="M176" s="59">
        <v>0</v>
      </c>
      <c r="N176" s="59">
        <v>5837</v>
      </c>
      <c r="O176" s="59">
        <v>0</v>
      </c>
      <c r="P176" s="59">
        <v>500</v>
      </c>
      <c r="Q176" s="59">
        <v>11807</v>
      </c>
      <c r="R176" s="59">
        <v>240</v>
      </c>
      <c r="S176" s="59">
        <v>0</v>
      </c>
      <c r="T176" s="59">
        <v>0</v>
      </c>
      <c r="U176" s="59">
        <v>600</v>
      </c>
      <c r="V176" s="59">
        <v>600</v>
      </c>
      <c r="W176" s="59">
        <v>0</v>
      </c>
      <c r="X176" s="59">
        <v>0</v>
      </c>
      <c r="Y176" s="59">
        <v>0</v>
      </c>
      <c r="Z176" s="59">
        <v>0</v>
      </c>
      <c r="AA176" s="59">
        <v>3948</v>
      </c>
      <c r="AB176" s="59"/>
      <c r="AC176" s="59"/>
      <c r="AD176" s="59"/>
      <c r="AE176" s="59"/>
      <c r="AF176" s="59"/>
      <c r="AG176" s="59"/>
      <c r="AH176" s="59"/>
      <c r="AI176" s="59"/>
      <c r="AJ176" s="59"/>
      <c r="AK176" s="59"/>
    </row>
    <row r="177" spans="2:37" x14ac:dyDescent="0.25">
      <c r="E177" t="s">
        <v>264</v>
      </c>
      <c r="H177" t="s">
        <v>1017</v>
      </c>
      <c r="I177" s="59">
        <v>0</v>
      </c>
      <c r="J177" s="59">
        <v>650</v>
      </c>
      <c r="K177" s="59">
        <v>446</v>
      </c>
      <c r="L177" s="59">
        <v>892</v>
      </c>
      <c r="M177" s="59">
        <v>0</v>
      </c>
      <c r="N177" s="59">
        <v>71</v>
      </c>
      <c r="O177" s="59">
        <v>0</v>
      </c>
      <c r="P177" s="59">
        <v>4189</v>
      </c>
      <c r="Q177" s="59">
        <v>0</v>
      </c>
      <c r="R177" s="59">
        <v>0</v>
      </c>
      <c r="S177" s="59">
        <v>0</v>
      </c>
      <c r="T177" s="59">
        <v>371</v>
      </c>
      <c r="U177" s="59">
        <v>0</v>
      </c>
      <c r="V177" s="59">
        <v>0</v>
      </c>
      <c r="W177" s="59">
        <v>295</v>
      </c>
      <c r="X177" s="59">
        <v>0</v>
      </c>
      <c r="Y177" s="59">
        <v>320</v>
      </c>
      <c r="Z177" s="59">
        <v>0</v>
      </c>
      <c r="AA177" s="59">
        <v>150</v>
      </c>
      <c r="AB177" s="59"/>
      <c r="AC177" s="59"/>
      <c r="AD177" s="59"/>
      <c r="AE177" s="59"/>
      <c r="AF177" s="59"/>
      <c r="AG177" s="59"/>
      <c r="AH177" s="59"/>
      <c r="AI177" s="59"/>
      <c r="AJ177" s="59"/>
      <c r="AK177" s="59"/>
    </row>
    <row r="178" spans="2:37" x14ac:dyDescent="0.25">
      <c r="E178" t="s">
        <v>265</v>
      </c>
      <c r="H178" t="s">
        <v>1017</v>
      </c>
      <c r="I178" s="59">
        <v>0</v>
      </c>
      <c r="J178" s="59">
        <v>12257</v>
      </c>
      <c r="K178" s="59">
        <v>0</v>
      </c>
      <c r="L178" s="59">
        <v>1401</v>
      </c>
      <c r="M178" s="59">
        <v>0</v>
      </c>
      <c r="N178" s="59">
        <v>30487</v>
      </c>
      <c r="O178" s="59">
        <v>11148</v>
      </c>
      <c r="P178" s="59">
        <v>97653</v>
      </c>
      <c r="Q178" s="59">
        <v>52321</v>
      </c>
      <c r="R178" s="59">
        <v>3994</v>
      </c>
      <c r="S178" s="59">
        <v>993</v>
      </c>
      <c r="T178" s="59">
        <v>0</v>
      </c>
      <c r="U178" s="59">
        <v>6181</v>
      </c>
      <c r="V178" s="59">
        <v>290</v>
      </c>
      <c r="W178" s="59">
        <v>5402</v>
      </c>
      <c r="X178" s="59">
        <v>116</v>
      </c>
      <c r="Y178" s="59">
        <v>30082</v>
      </c>
      <c r="Z178" s="59">
        <v>689</v>
      </c>
      <c r="AA178" s="59">
        <v>0</v>
      </c>
      <c r="AB178" s="59"/>
      <c r="AC178" s="59"/>
      <c r="AD178" s="59"/>
      <c r="AE178" s="59"/>
      <c r="AF178" s="59"/>
      <c r="AG178" s="59"/>
      <c r="AH178" s="59"/>
      <c r="AI178" s="59"/>
      <c r="AJ178" s="59"/>
      <c r="AK178" s="59"/>
    </row>
    <row r="179" spans="2:37" x14ac:dyDescent="0.25">
      <c r="E179" t="s">
        <v>271</v>
      </c>
      <c r="H179" t="s">
        <v>1017</v>
      </c>
      <c r="I179" s="59">
        <v>0</v>
      </c>
      <c r="J179" s="59">
        <v>48</v>
      </c>
      <c r="K179" s="59">
        <v>9156</v>
      </c>
      <c r="L179" s="59">
        <v>0</v>
      </c>
      <c r="M179" s="59">
        <v>300</v>
      </c>
      <c r="N179" s="59">
        <v>0</v>
      </c>
      <c r="O179" s="59">
        <v>0</v>
      </c>
      <c r="P179" s="59">
        <v>2630</v>
      </c>
      <c r="Q179" s="59">
        <v>0</v>
      </c>
      <c r="R179" s="59">
        <v>0</v>
      </c>
      <c r="S179" s="59">
        <v>0</v>
      </c>
      <c r="T179" s="59">
        <v>0</v>
      </c>
      <c r="U179" s="59">
        <v>195</v>
      </c>
      <c r="V179" s="59">
        <v>0</v>
      </c>
      <c r="W179" s="59">
        <v>0</v>
      </c>
      <c r="X179" s="59">
        <v>0</v>
      </c>
      <c r="Y179" s="59">
        <v>0</v>
      </c>
      <c r="Z179" s="59">
        <v>0</v>
      </c>
      <c r="AA179" s="59">
        <v>696</v>
      </c>
      <c r="AB179" s="59"/>
      <c r="AC179" s="59"/>
      <c r="AD179" s="59"/>
      <c r="AE179" s="59"/>
      <c r="AF179" s="59"/>
      <c r="AG179" s="59"/>
      <c r="AH179" s="59"/>
      <c r="AI179" s="59"/>
      <c r="AJ179" s="59"/>
      <c r="AK179" s="59"/>
    </row>
    <row r="180" spans="2:37" s="16" customFormat="1" x14ac:dyDescent="0.25">
      <c r="B180" s="17"/>
      <c r="D180" s="16" t="s">
        <v>3</v>
      </c>
      <c r="H180" s="16" t="s">
        <v>1017</v>
      </c>
      <c r="I180" s="61">
        <f t="shared" ref="I180:AK180" si="85">SUM(I181:I185)</f>
        <v>24481</v>
      </c>
      <c r="J180" s="61">
        <f t="shared" si="85"/>
        <v>13986</v>
      </c>
      <c r="K180" s="61">
        <f t="shared" si="85"/>
        <v>29104</v>
      </c>
      <c r="L180" s="61">
        <f t="shared" si="85"/>
        <v>141615</v>
      </c>
      <c r="M180" s="61">
        <f t="shared" si="85"/>
        <v>47247</v>
      </c>
      <c r="N180" s="61">
        <f t="shared" si="85"/>
        <v>131781</v>
      </c>
      <c r="O180" s="61">
        <f t="shared" si="85"/>
        <v>16623</v>
      </c>
      <c r="P180" s="61">
        <f t="shared" si="85"/>
        <v>15366</v>
      </c>
      <c r="Q180" s="61">
        <f t="shared" si="85"/>
        <v>24830</v>
      </c>
      <c r="R180" s="61">
        <f t="shared" si="85"/>
        <v>55412</v>
      </c>
      <c r="S180" s="61">
        <f t="shared" si="85"/>
        <v>5435</v>
      </c>
      <c r="T180" s="61">
        <f t="shared" si="85"/>
        <v>24024</v>
      </c>
      <c r="U180" s="61">
        <f t="shared" si="85"/>
        <v>8236</v>
      </c>
      <c r="V180" s="61">
        <f t="shared" si="85"/>
        <v>22318</v>
      </c>
      <c r="W180" s="61">
        <f t="shared" si="85"/>
        <v>-928</v>
      </c>
      <c r="X180" s="61">
        <f t="shared" si="85"/>
        <v>4405</v>
      </c>
      <c r="Y180" s="61">
        <f t="shared" si="85"/>
        <v>6055</v>
      </c>
      <c r="Z180" s="61">
        <f t="shared" si="85"/>
        <v>97349</v>
      </c>
      <c r="AA180" s="61">
        <f t="shared" si="85"/>
        <v>26924</v>
      </c>
      <c r="AB180" s="61">
        <f t="shared" si="85"/>
        <v>0</v>
      </c>
      <c r="AC180" s="61">
        <f t="shared" si="85"/>
        <v>0</v>
      </c>
      <c r="AD180" s="61">
        <f t="shared" si="85"/>
        <v>0</v>
      </c>
      <c r="AE180" s="61">
        <f t="shared" si="85"/>
        <v>0</v>
      </c>
      <c r="AF180" s="61">
        <f t="shared" si="85"/>
        <v>0</v>
      </c>
      <c r="AG180" s="61">
        <f t="shared" si="85"/>
        <v>0</v>
      </c>
      <c r="AH180" s="61">
        <f t="shared" si="85"/>
        <v>0</v>
      </c>
      <c r="AI180" s="61">
        <f t="shared" si="85"/>
        <v>0</v>
      </c>
      <c r="AJ180" s="61">
        <f t="shared" si="85"/>
        <v>0</v>
      </c>
      <c r="AK180" s="61">
        <f t="shared" si="85"/>
        <v>0</v>
      </c>
    </row>
    <row r="181" spans="2:37" x14ac:dyDescent="0.25">
      <c r="E181" t="s">
        <v>269</v>
      </c>
      <c r="H181" t="s">
        <v>1017</v>
      </c>
      <c r="I181" s="59">
        <v>22877</v>
      </c>
      <c r="J181" s="59">
        <v>1500</v>
      </c>
      <c r="K181" s="59">
        <v>0</v>
      </c>
      <c r="L181" s="59">
        <v>1860</v>
      </c>
      <c r="M181" s="59">
        <v>1302</v>
      </c>
      <c r="N181" s="59">
        <v>7153</v>
      </c>
      <c r="O181" s="59">
        <v>5384</v>
      </c>
      <c r="P181" s="59">
        <v>804</v>
      </c>
      <c r="Q181" s="59">
        <v>1136</v>
      </c>
      <c r="R181" s="59">
        <v>0</v>
      </c>
      <c r="S181" s="59">
        <v>0</v>
      </c>
      <c r="T181" s="59">
        <v>23355</v>
      </c>
      <c r="U181" s="59">
        <v>2002</v>
      </c>
      <c r="V181" s="59">
        <v>-2356</v>
      </c>
      <c r="W181" s="59">
        <v>156</v>
      </c>
      <c r="X181" s="59">
        <v>4113</v>
      </c>
      <c r="Y181" s="59">
        <v>0</v>
      </c>
      <c r="Z181" s="59">
        <v>13643</v>
      </c>
      <c r="AA181" s="59">
        <v>11356</v>
      </c>
      <c r="AB181" s="59"/>
      <c r="AC181" s="59"/>
      <c r="AD181" s="59"/>
      <c r="AE181" s="59"/>
      <c r="AF181" s="59"/>
      <c r="AG181" s="59"/>
      <c r="AH181" s="59"/>
      <c r="AI181" s="59"/>
      <c r="AJ181" s="59"/>
      <c r="AK181" s="59"/>
    </row>
    <row r="182" spans="2:37" x14ac:dyDescent="0.25">
      <c r="E182" t="s">
        <v>266</v>
      </c>
      <c r="H182" t="s">
        <v>1017</v>
      </c>
      <c r="I182" s="59">
        <v>0</v>
      </c>
      <c r="J182" s="59">
        <v>11486</v>
      </c>
      <c r="K182" s="59">
        <v>15135</v>
      </c>
      <c r="L182" s="59">
        <v>138285</v>
      </c>
      <c r="M182" s="59">
        <v>39449</v>
      </c>
      <c r="N182" s="59">
        <v>111991</v>
      </c>
      <c r="O182" s="59">
        <v>8659</v>
      </c>
      <c r="P182" s="59">
        <v>14562</v>
      </c>
      <c r="Q182" s="59">
        <v>10334</v>
      </c>
      <c r="R182" s="59">
        <v>53000</v>
      </c>
      <c r="S182" s="59">
        <v>3089</v>
      </c>
      <c r="T182" s="59">
        <v>0</v>
      </c>
      <c r="U182" s="59">
        <v>5434</v>
      </c>
      <c r="V182" s="59">
        <v>22296</v>
      </c>
      <c r="W182" s="59">
        <v>-1084</v>
      </c>
      <c r="X182" s="59">
        <v>292</v>
      </c>
      <c r="Y182" s="59">
        <v>6055</v>
      </c>
      <c r="Z182" s="59">
        <v>63924</v>
      </c>
      <c r="AA182" s="59">
        <v>5692</v>
      </c>
      <c r="AB182" s="59"/>
      <c r="AC182" s="59"/>
      <c r="AD182" s="59"/>
      <c r="AE182" s="59"/>
      <c r="AF182" s="59"/>
      <c r="AG182" s="59"/>
      <c r="AH182" s="59"/>
      <c r="AI182" s="59"/>
      <c r="AJ182" s="59"/>
      <c r="AK182" s="59"/>
    </row>
    <row r="183" spans="2:37" x14ac:dyDescent="0.25">
      <c r="E183" t="s">
        <v>267</v>
      </c>
      <c r="H183" t="s">
        <v>1017</v>
      </c>
      <c r="I183" s="59">
        <v>1116</v>
      </c>
      <c r="J183" s="59">
        <v>0</v>
      </c>
      <c r="K183" s="59">
        <v>0</v>
      </c>
      <c r="L183" s="59">
        <v>0</v>
      </c>
      <c r="M183" s="59">
        <v>0</v>
      </c>
      <c r="N183" s="59">
        <v>0</v>
      </c>
      <c r="O183" s="59">
        <v>0</v>
      </c>
      <c r="P183" s="59">
        <v>0</v>
      </c>
      <c r="Q183" s="59">
        <v>11960</v>
      </c>
      <c r="R183" s="59">
        <v>0</v>
      </c>
      <c r="S183" s="59">
        <v>0</v>
      </c>
      <c r="T183" s="59">
        <v>669</v>
      </c>
      <c r="U183" s="59">
        <v>0</v>
      </c>
      <c r="V183" s="59">
        <v>0</v>
      </c>
      <c r="W183" s="59">
        <v>0</v>
      </c>
      <c r="X183" s="59">
        <v>0</v>
      </c>
      <c r="Y183" s="59">
        <v>0</v>
      </c>
      <c r="Z183" s="59">
        <v>19782</v>
      </c>
      <c r="AA183" s="59">
        <v>9876</v>
      </c>
      <c r="AB183" s="59"/>
      <c r="AC183" s="59"/>
      <c r="AD183" s="59"/>
      <c r="AE183" s="59"/>
      <c r="AF183" s="59"/>
      <c r="AG183" s="59"/>
      <c r="AH183" s="59"/>
      <c r="AI183" s="59"/>
      <c r="AJ183" s="59"/>
      <c r="AK183" s="59"/>
    </row>
    <row r="184" spans="2:37" x14ac:dyDescent="0.25">
      <c r="E184" t="s">
        <v>270</v>
      </c>
      <c r="H184" t="s">
        <v>1017</v>
      </c>
      <c r="I184" s="59">
        <v>0</v>
      </c>
      <c r="J184" s="59">
        <v>0</v>
      </c>
      <c r="K184" s="59">
        <v>369</v>
      </c>
      <c r="L184" s="59">
        <v>0</v>
      </c>
      <c r="M184" s="59">
        <v>0</v>
      </c>
      <c r="N184" s="59">
        <v>0</v>
      </c>
      <c r="O184" s="59">
        <v>2100</v>
      </c>
      <c r="P184" s="59">
        <v>0</v>
      </c>
      <c r="Q184" s="59">
        <v>0</v>
      </c>
      <c r="R184" s="59">
        <v>1008</v>
      </c>
      <c r="S184" s="59">
        <v>0</v>
      </c>
      <c r="T184" s="59">
        <v>0</v>
      </c>
      <c r="U184" s="59">
        <v>0</v>
      </c>
      <c r="V184" s="59">
        <v>0</v>
      </c>
      <c r="W184" s="59">
        <v>0</v>
      </c>
      <c r="X184" s="59">
        <v>0</v>
      </c>
      <c r="Y184" s="59">
        <v>0</v>
      </c>
      <c r="Z184" s="59">
        <v>0</v>
      </c>
      <c r="AA184" s="59">
        <v>0</v>
      </c>
      <c r="AB184" s="59"/>
      <c r="AC184" s="59"/>
      <c r="AD184" s="59"/>
      <c r="AE184" s="59"/>
      <c r="AF184" s="59"/>
      <c r="AG184" s="59"/>
      <c r="AH184" s="59"/>
      <c r="AI184" s="59"/>
      <c r="AJ184" s="59"/>
      <c r="AK184" s="59"/>
    </row>
    <row r="185" spans="2:37" x14ac:dyDescent="0.25">
      <c r="E185" t="s">
        <v>268</v>
      </c>
      <c r="H185" t="s">
        <v>1017</v>
      </c>
      <c r="I185" s="59">
        <v>488</v>
      </c>
      <c r="J185" s="59">
        <v>1000</v>
      </c>
      <c r="K185" s="59">
        <v>13600</v>
      </c>
      <c r="L185" s="59">
        <v>1470</v>
      </c>
      <c r="M185" s="59">
        <v>6496</v>
      </c>
      <c r="N185" s="59">
        <v>12637</v>
      </c>
      <c r="O185" s="59">
        <v>480</v>
      </c>
      <c r="P185" s="59">
        <v>0</v>
      </c>
      <c r="Q185" s="59">
        <v>1400</v>
      </c>
      <c r="R185" s="59">
        <v>1404</v>
      </c>
      <c r="S185" s="59">
        <v>2346</v>
      </c>
      <c r="T185" s="59">
        <v>0</v>
      </c>
      <c r="U185" s="59">
        <v>800</v>
      </c>
      <c r="V185" s="59">
        <v>2378</v>
      </c>
      <c r="W185" s="59">
        <v>0</v>
      </c>
      <c r="X185" s="59">
        <v>0</v>
      </c>
      <c r="Y185" s="59">
        <v>0</v>
      </c>
      <c r="Z185" s="59">
        <v>0</v>
      </c>
      <c r="AA185" s="59">
        <v>0</v>
      </c>
      <c r="AB185" s="59"/>
      <c r="AC185" s="59"/>
      <c r="AD185" s="59"/>
      <c r="AE185" s="59"/>
      <c r="AF185" s="59"/>
      <c r="AG185" s="59"/>
      <c r="AH185" s="59"/>
      <c r="AI185" s="59"/>
      <c r="AJ185" s="59"/>
      <c r="AK185" s="59"/>
    </row>
    <row r="186" spans="2:37" x14ac:dyDescent="0.25">
      <c r="C186" s="15" t="s">
        <v>1073</v>
      </c>
      <c r="D186" s="13"/>
      <c r="E186" s="13"/>
      <c r="F186" s="13"/>
      <c r="G186" s="13"/>
      <c r="H186" s="13" t="s">
        <v>1015</v>
      </c>
      <c r="I186" s="62">
        <f t="shared" ref="I186:Z186" si="86">SUM(I190:I201,I203:I207)</f>
        <v>8151</v>
      </c>
      <c r="J186" s="62">
        <f t="shared" si="86"/>
        <v>8338</v>
      </c>
      <c r="K186" s="62">
        <f t="shared" si="86"/>
        <v>8659</v>
      </c>
      <c r="L186" s="62">
        <f t="shared" si="86"/>
        <v>8815</v>
      </c>
      <c r="M186" s="62">
        <f t="shared" si="86"/>
        <v>9072</v>
      </c>
      <c r="N186" s="62">
        <f t="shared" si="86"/>
        <v>9238</v>
      </c>
      <c r="O186" s="62">
        <f t="shared" si="86"/>
        <v>9403</v>
      </c>
      <c r="P186" s="62">
        <f t="shared" si="86"/>
        <v>9584</v>
      </c>
      <c r="Q186" s="62">
        <f t="shared" si="86"/>
        <v>9754</v>
      </c>
      <c r="R186" s="62">
        <f t="shared" si="86"/>
        <v>9822</v>
      </c>
      <c r="S186" s="62">
        <f t="shared" si="86"/>
        <v>9889</v>
      </c>
      <c r="T186" s="62">
        <f t="shared" si="86"/>
        <v>9952</v>
      </c>
      <c r="U186" s="62">
        <f t="shared" si="86"/>
        <v>10058</v>
      </c>
      <c r="V186" s="62">
        <f t="shared" si="86"/>
        <v>10185</v>
      </c>
      <c r="W186" s="62">
        <f t="shared" si="86"/>
        <v>10318</v>
      </c>
      <c r="X186" s="62">
        <f t="shared" si="86"/>
        <v>10444</v>
      </c>
      <c r="Y186" s="62">
        <f t="shared" si="86"/>
        <v>10623</v>
      </c>
      <c r="Z186" s="62">
        <f t="shared" si="86"/>
        <v>10841</v>
      </c>
      <c r="AA186" s="62">
        <f t="shared" ref="AA186:AK186" si="87">SUM(AA190:AA201,AA203:AA207)</f>
        <v>11063</v>
      </c>
      <c r="AB186" s="62">
        <f t="shared" si="87"/>
        <v>11063</v>
      </c>
      <c r="AC186" s="62">
        <f t="shared" si="87"/>
        <v>11063</v>
      </c>
      <c r="AD186" s="62">
        <f t="shared" si="87"/>
        <v>11063</v>
      </c>
      <c r="AE186" s="62">
        <f t="shared" si="87"/>
        <v>11063</v>
      </c>
      <c r="AF186" s="62">
        <f t="shared" si="87"/>
        <v>11063</v>
      </c>
      <c r="AG186" s="62">
        <f t="shared" si="87"/>
        <v>11063</v>
      </c>
      <c r="AH186" s="62">
        <f t="shared" si="87"/>
        <v>11063</v>
      </c>
      <c r="AI186" s="62">
        <f t="shared" si="87"/>
        <v>11063</v>
      </c>
      <c r="AJ186" s="62">
        <f t="shared" si="87"/>
        <v>11063</v>
      </c>
      <c r="AK186" s="62">
        <f t="shared" si="87"/>
        <v>11063</v>
      </c>
    </row>
    <row r="187" spans="2:37" x14ac:dyDescent="0.25">
      <c r="C187" s="16"/>
      <c r="D187" s="16" t="s">
        <v>2</v>
      </c>
      <c r="E187" s="16"/>
      <c r="F187" s="16"/>
      <c r="G187" s="16"/>
      <c r="H187" s="16" t="s">
        <v>1015</v>
      </c>
      <c r="I187" s="61">
        <f t="shared" ref="I187:Z187" si="88">SUM(I190:I201)</f>
        <v>4586</v>
      </c>
      <c r="J187" s="61">
        <f t="shared" si="88"/>
        <v>4713</v>
      </c>
      <c r="K187" s="61">
        <f t="shared" si="88"/>
        <v>4902</v>
      </c>
      <c r="L187" s="61">
        <f t="shared" si="88"/>
        <v>4982</v>
      </c>
      <c r="M187" s="61">
        <f t="shared" si="88"/>
        <v>5130</v>
      </c>
      <c r="N187" s="61">
        <f t="shared" si="88"/>
        <v>5209</v>
      </c>
      <c r="O187" s="61">
        <f t="shared" si="88"/>
        <v>5294</v>
      </c>
      <c r="P187" s="61">
        <f t="shared" si="88"/>
        <v>5394</v>
      </c>
      <c r="Q187" s="61">
        <f t="shared" si="88"/>
        <v>5477</v>
      </c>
      <c r="R187" s="61">
        <f t="shared" si="88"/>
        <v>5504</v>
      </c>
      <c r="S187" s="61">
        <f t="shared" si="88"/>
        <v>5540</v>
      </c>
      <c r="T187" s="61">
        <f t="shared" si="88"/>
        <v>5575</v>
      </c>
      <c r="U187" s="61">
        <f t="shared" si="88"/>
        <v>5635</v>
      </c>
      <c r="V187" s="61">
        <f t="shared" si="88"/>
        <v>5713</v>
      </c>
      <c r="W187" s="61">
        <f t="shared" si="88"/>
        <v>5793</v>
      </c>
      <c r="X187" s="61">
        <f t="shared" si="88"/>
        <v>5862</v>
      </c>
      <c r="Y187" s="61">
        <f t="shared" si="88"/>
        <v>5984</v>
      </c>
      <c r="Z187" s="61">
        <f t="shared" si="88"/>
        <v>6126</v>
      </c>
      <c r="AA187" s="61">
        <f t="shared" ref="AA187:AK187" si="89">SUM(AA190:AA201)</f>
        <v>6290</v>
      </c>
      <c r="AB187" s="61">
        <f t="shared" si="89"/>
        <v>6290</v>
      </c>
      <c r="AC187" s="61">
        <f t="shared" si="89"/>
        <v>6290</v>
      </c>
      <c r="AD187" s="61">
        <f t="shared" si="89"/>
        <v>6290</v>
      </c>
      <c r="AE187" s="61">
        <f t="shared" si="89"/>
        <v>6290</v>
      </c>
      <c r="AF187" s="61">
        <f t="shared" si="89"/>
        <v>6290</v>
      </c>
      <c r="AG187" s="61">
        <f t="shared" si="89"/>
        <v>6290</v>
      </c>
      <c r="AH187" s="61">
        <f t="shared" si="89"/>
        <v>6290</v>
      </c>
      <c r="AI187" s="61">
        <f t="shared" si="89"/>
        <v>6290</v>
      </c>
      <c r="AJ187" s="61">
        <f t="shared" si="89"/>
        <v>6290</v>
      </c>
      <c r="AK187" s="61">
        <f t="shared" si="89"/>
        <v>6290</v>
      </c>
    </row>
    <row r="188" spans="2:37" x14ac:dyDescent="0.25">
      <c r="C188" s="16"/>
      <c r="D188" s="16"/>
      <c r="E188" s="16" t="s">
        <v>162</v>
      </c>
      <c r="F188" s="16"/>
      <c r="G188" s="16"/>
      <c r="H188" s="16" t="s">
        <v>1015</v>
      </c>
      <c r="I188" s="61">
        <f t="shared" ref="I188:Z188" si="90">SUM(I190:I195)</f>
        <v>3766</v>
      </c>
      <c r="J188" s="61">
        <f t="shared" si="90"/>
        <v>3846</v>
      </c>
      <c r="K188" s="61">
        <f t="shared" si="90"/>
        <v>4019</v>
      </c>
      <c r="L188" s="61">
        <f t="shared" si="90"/>
        <v>4090</v>
      </c>
      <c r="M188" s="61">
        <f t="shared" si="90"/>
        <v>4225</v>
      </c>
      <c r="N188" s="61">
        <f t="shared" si="90"/>
        <v>4282</v>
      </c>
      <c r="O188" s="61">
        <f t="shared" si="90"/>
        <v>4338</v>
      </c>
      <c r="P188" s="61">
        <f t="shared" si="90"/>
        <v>4403</v>
      </c>
      <c r="Q188" s="61">
        <f t="shared" si="90"/>
        <v>4444</v>
      </c>
      <c r="R188" s="61">
        <f t="shared" si="90"/>
        <v>4461</v>
      </c>
      <c r="S188" s="61">
        <f t="shared" si="90"/>
        <v>4490</v>
      </c>
      <c r="T188" s="61">
        <f t="shared" si="90"/>
        <v>4504</v>
      </c>
      <c r="U188" s="61">
        <f t="shared" si="90"/>
        <v>4560</v>
      </c>
      <c r="V188" s="61">
        <f t="shared" si="90"/>
        <v>4604</v>
      </c>
      <c r="W188" s="61">
        <f t="shared" si="90"/>
        <v>4666</v>
      </c>
      <c r="X188" s="61">
        <f t="shared" si="90"/>
        <v>4699</v>
      </c>
      <c r="Y188" s="61">
        <f t="shared" si="90"/>
        <v>4772</v>
      </c>
      <c r="Z188" s="61">
        <f t="shared" si="90"/>
        <v>4899</v>
      </c>
      <c r="AA188" s="61">
        <f t="shared" ref="AA188:AK188" si="91">SUM(AA190:AA195)</f>
        <v>5048</v>
      </c>
      <c r="AB188" s="61">
        <f t="shared" si="91"/>
        <v>5048</v>
      </c>
      <c r="AC188" s="61">
        <f t="shared" si="91"/>
        <v>5048</v>
      </c>
      <c r="AD188" s="61">
        <f t="shared" si="91"/>
        <v>5048</v>
      </c>
      <c r="AE188" s="61">
        <f t="shared" si="91"/>
        <v>5048</v>
      </c>
      <c r="AF188" s="61">
        <f t="shared" si="91"/>
        <v>5048</v>
      </c>
      <c r="AG188" s="61">
        <f t="shared" si="91"/>
        <v>5048</v>
      </c>
      <c r="AH188" s="61">
        <f t="shared" si="91"/>
        <v>5048</v>
      </c>
      <c r="AI188" s="61">
        <f t="shared" si="91"/>
        <v>5048</v>
      </c>
      <c r="AJ188" s="61">
        <f t="shared" si="91"/>
        <v>5048</v>
      </c>
      <c r="AK188" s="61">
        <f t="shared" si="91"/>
        <v>5048</v>
      </c>
    </row>
    <row r="189" spans="2:37" x14ac:dyDescent="0.25">
      <c r="C189" s="16"/>
      <c r="D189" s="16"/>
      <c r="E189" s="16" t="s">
        <v>255</v>
      </c>
      <c r="F189" s="16"/>
      <c r="G189" s="16"/>
      <c r="H189" s="16" t="s">
        <v>1015</v>
      </c>
      <c r="I189" s="61">
        <f t="shared" ref="I189:Z189" si="92">SUM(I196:I201)</f>
        <v>820</v>
      </c>
      <c r="J189" s="61">
        <f t="shared" si="92"/>
        <v>867</v>
      </c>
      <c r="K189" s="61">
        <f t="shared" si="92"/>
        <v>883</v>
      </c>
      <c r="L189" s="61">
        <f t="shared" si="92"/>
        <v>892</v>
      </c>
      <c r="M189" s="61">
        <f t="shared" si="92"/>
        <v>905</v>
      </c>
      <c r="N189" s="61">
        <f t="shared" si="92"/>
        <v>927</v>
      </c>
      <c r="O189" s="61">
        <f t="shared" si="92"/>
        <v>956</v>
      </c>
      <c r="P189" s="61">
        <f t="shared" si="92"/>
        <v>991</v>
      </c>
      <c r="Q189" s="61">
        <f t="shared" si="92"/>
        <v>1033</v>
      </c>
      <c r="R189" s="61">
        <f t="shared" si="92"/>
        <v>1043</v>
      </c>
      <c r="S189" s="61">
        <f t="shared" si="92"/>
        <v>1050</v>
      </c>
      <c r="T189" s="61">
        <f t="shared" si="92"/>
        <v>1071</v>
      </c>
      <c r="U189" s="61">
        <f t="shared" si="92"/>
        <v>1075</v>
      </c>
      <c r="V189" s="61">
        <f t="shared" si="92"/>
        <v>1109</v>
      </c>
      <c r="W189" s="61">
        <f t="shared" si="92"/>
        <v>1127</v>
      </c>
      <c r="X189" s="61">
        <f t="shared" si="92"/>
        <v>1163</v>
      </c>
      <c r="Y189" s="61">
        <f t="shared" si="92"/>
        <v>1212</v>
      </c>
      <c r="Z189" s="61">
        <f t="shared" si="92"/>
        <v>1227</v>
      </c>
      <c r="AA189" s="61">
        <f t="shared" ref="AA189:AK189" si="93">SUM(AA196:AA201)</f>
        <v>1242</v>
      </c>
      <c r="AB189" s="61">
        <f t="shared" si="93"/>
        <v>1242</v>
      </c>
      <c r="AC189" s="61">
        <f t="shared" si="93"/>
        <v>1242</v>
      </c>
      <c r="AD189" s="61">
        <f t="shared" si="93"/>
        <v>1242</v>
      </c>
      <c r="AE189" s="61">
        <f t="shared" si="93"/>
        <v>1242</v>
      </c>
      <c r="AF189" s="61">
        <f t="shared" si="93"/>
        <v>1242</v>
      </c>
      <c r="AG189" s="61">
        <f t="shared" si="93"/>
        <v>1242</v>
      </c>
      <c r="AH189" s="61">
        <f t="shared" si="93"/>
        <v>1242</v>
      </c>
      <c r="AI189" s="61">
        <f t="shared" si="93"/>
        <v>1242</v>
      </c>
      <c r="AJ189" s="61">
        <f t="shared" si="93"/>
        <v>1242</v>
      </c>
      <c r="AK189" s="61">
        <f t="shared" si="93"/>
        <v>1242</v>
      </c>
    </row>
    <row r="190" spans="2:37" x14ac:dyDescent="0.25">
      <c r="F190" t="s">
        <v>256</v>
      </c>
      <c r="H190" t="s">
        <v>1015</v>
      </c>
      <c r="I190" s="59">
        <f t="shared" ref="I190:V205" si="94">J190-J148</f>
        <v>1</v>
      </c>
      <c r="J190" s="59">
        <f t="shared" si="94"/>
        <v>1</v>
      </c>
      <c r="K190" s="59">
        <f t="shared" si="94"/>
        <v>1</v>
      </c>
      <c r="L190" s="59">
        <f t="shared" si="94"/>
        <v>1</v>
      </c>
      <c r="M190" s="59">
        <f t="shared" si="94"/>
        <v>1</v>
      </c>
      <c r="N190" s="59">
        <f t="shared" si="94"/>
        <v>1</v>
      </c>
      <c r="O190" s="59">
        <f t="shared" si="94"/>
        <v>2</v>
      </c>
      <c r="P190" s="59">
        <f t="shared" si="94"/>
        <v>2</v>
      </c>
      <c r="Q190" s="59">
        <f t="shared" si="94"/>
        <v>2</v>
      </c>
      <c r="R190" s="59">
        <f t="shared" si="94"/>
        <v>2</v>
      </c>
      <c r="S190" s="59">
        <f t="shared" si="94"/>
        <v>2</v>
      </c>
      <c r="T190" s="59">
        <f t="shared" si="94"/>
        <v>2</v>
      </c>
      <c r="U190" s="59">
        <f t="shared" si="94"/>
        <v>3</v>
      </c>
      <c r="V190" s="59">
        <f t="shared" si="94"/>
        <v>3</v>
      </c>
      <c r="W190" s="59">
        <v>3</v>
      </c>
      <c r="X190" s="59">
        <f>W190+X148</f>
        <v>3</v>
      </c>
      <c r="Y190" s="59">
        <f>X190+Y148</f>
        <v>3</v>
      </c>
      <c r="Z190" s="59">
        <f>Y190+Z148</f>
        <v>3</v>
      </c>
      <c r="AA190" s="59">
        <f t="shared" ref="AA190:AK190" si="95">Z190+AA148</f>
        <v>3</v>
      </c>
      <c r="AB190" s="59">
        <f t="shared" si="95"/>
        <v>3</v>
      </c>
      <c r="AC190" s="59">
        <f t="shared" si="95"/>
        <v>3</v>
      </c>
      <c r="AD190" s="59">
        <f t="shared" si="95"/>
        <v>3</v>
      </c>
      <c r="AE190" s="59">
        <f t="shared" si="95"/>
        <v>3</v>
      </c>
      <c r="AF190" s="59">
        <f t="shared" si="95"/>
        <v>3</v>
      </c>
      <c r="AG190" s="59">
        <f t="shared" si="95"/>
        <v>3</v>
      </c>
      <c r="AH190" s="59">
        <f t="shared" si="95"/>
        <v>3</v>
      </c>
      <c r="AI190" s="59">
        <f t="shared" si="95"/>
        <v>3</v>
      </c>
      <c r="AJ190" s="59">
        <f t="shared" si="95"/>
        <v>3</v>
      </c>
      <c r="AK190" s="59">
        <f t="shared" si="95"/>
        <v>3</v>
      </c>
    </row>
    <row r="191" spans="2:37" x14ac:dyDescent="0.25">
      <c r="F191" t="s">
        <v>116</v>
      </c>
      <c r="H191" t="s">
        <v>1015</v>
      </c>
      <c r="I191" s="59">
        <f t="shared" si="94"/>
        <v>609</v>
      </c>
      <c r="J191" s="59">
        <f t="shared" si="94"/>
        <v>611</v>
      </c>
      <c r="K191" s="59">
        <f t="shared" si="94"/>
        <v>620</v>
      </c>
      <c r="L191" s="59">
        <f t="shared" si="94"/>
        <v>621</v>
      </c>
      <c r="M191" s="59">
        <f t="shared" si="94"/>
        <v>639</v>
      </c>
      <c r="N191" s="59">
        <f t="shared" si="94"/>
        <v>642</v>
      </c>
      <c r="O191" s="59">
        <f t="shared" si="94"/>
        <v>660</v>
      </c>
      <c r="P191" s="59">
        <f t="shared" si="94"/>
        <v>682</v>
      </c>
      <c r="Q191" s="59">
        <f t="shared" si="94"/>
        <v>682</v>
      </c>
      <c r="R191" s="59">
        <f t="shared" si="94"/>
        <v>682</v>
      </c>
      <c r="S191" s="59">
        <f t="shared" si="94"/>
        <v>683</v>
      </c>
      <c r="T191" s="59">
        <f t="shared" si="94"/>
        <v>684</v>
      </c>
      <c r="U191" s="59">
        <f t="shared" si="94"/>
        <v>684</v>
      </c>
      <c r="V191" s="59">
        <f t="shared" si="94"/>
        <v>686</v>
      </c>
      <c r="W191" s="59">
        <v>691</v>
      </c>
      <c r="X191" s="59">
        <f t="shared" ref="X191:Z201" si="96">W191+X149</f>
        <v>700</v>
      </c>
      <c r="Y191" s="59">
        <f t="shared" si="96"/>
        <v>704</v>
      </c>
      <c r="Z191" s="59">
        <f t="shared" si="96"/>
        <v>738</v>
      </c>
      <c r="AA191" s="59">
        <f t="shared" ref="AA191:AK191" si="97">Z191+AA149</f>
        <v>751</v>
      </c>
      <c r="AB191" s="59">
        <f t="shared" si="97"/>
        <v>751</v>
      </c>
      <c r="AC191" s="59">
        <f t="shared" si="97"/>
        <v>751</v>
      </c>
      <c r="AD191" s="59">
        <f t="shared" si="97"/>
        <v>751</v>
      </c>
      <c r="AE191" s="59">
        <f t="shared" si="97"/>
        <v>751</v>
      </c>
      <c r="AF191" s="59">
        <f t="shared" si="97"/>
        <v>751</v>
      </c>
      <c r="AG191" s="59">
        <f t="shared" si="97"/>
        <v>751</v>
      </c>
      <c r="AH191" s="59">
        <f t="shared" si="97"/>
        <v>751</v>
      </c>
      <c r="AI191" s="59">
        <f t="shared" si="97"/>
        <v>751</v>
      </c>
      <c r="AJ191" s="59">
        <f t="shared" si="97"/>
        <v>751</v>
      </c>
      <c r="AK191" s="59">
        <f t="shared" si="97"/>
        <v>751</v>
      </c>
    </row>
    <row r="192" spans="2:37" x14ac:dyDescent="0.25">
      <c r="F192" t="s">
        <v>257</v>
      </c>
      <c r="H192" t="s">
        <v>1015</v>
      </c>
      <c r="I192" s="59">
        <f t="shared" si="94"/>
        <v>1236</v>
      </c>
      <c r="J192" s="59">
        <f t="shared" si="94"/>
        <v>1244</v>
      </c>
      <c r="K192" s="59">
        <f t="shared" si="94"/>
        <v>1341</v>
      </c>
      <c r="L192" s="59">
        <f t="shared" si="94"/>
        <v>1347</v>
      </c>
      <c r="M192" s="59">
        <f t="shared" si="94"/>
        <v>1370</v>
      </c>
      <c r="N192" s="59">
        <f t="shared" si="94"/>
        <v>1391</v>
      </c>
      <c r="O192" s="59">
        <f t="shared" si="94"/>
        <v>1413</v>
      </c>
      <c r="P192" s="59">
        <f t="shared" si="94"/>
        <v>1415</v>
      </c>
      <c r="Q192" s="59">
        <f t="shared" si="94"/>
        <v>1436</v>
      </c>
      <c r="R192" s="59">
        <f t="shared" si="94"/>
        <v>1453</v>
      </c>
      <c r="S192" s="59">
        <f t="shared" si="94"/>
        <v>1462</v>
      </c>
      <c r="T192" s="59">
        <f t="shared" si="94"/>
        <v>1470</v>
      </c>
      <c r="U192" s="59">
        <f t="shared" si="94"/>
        <v>1476</v>
      </c>
      <c r="V192" s="59">
        <f t="shared" si="94"/>
        <v>1485</v>
      </c>
      <c r="W192" s="59">
        <v>1495</v>
      </c>
      <c r="X192" s="59">
        <f t="shared" si="96"/>
        <v>1511</v>
      </c>
      <c r="Y192" s="59">
        <f t="shared" si="96"/>
        <v>1548</v>
      </c>
      <c r="Z192" s="59">
        <f t="shared" si="96"/>
        <v>1623</v>
      </c>
      <c r="AA192" s="59">
        <f t="shared" ref="AA192:AK192" si="98">Z192+AA150</f>
        <v>1736</v>
      </c>
      <c r="AB192" s="59">
        <f t="shared" si="98"/>
        <v>1736</v>
      </c>
      <c r="AC192" s="59">
        <f t="shared" si="98"/>
        <v>1736</v>
      </c>
      <c r="AD192" s="59">
        <f t="shared" si="98"/>
        <v>1736</v>
      </c>
      <c r="AE192" s="59">
        <f t="shared" si="98"/>
        <v>1736</v>
      </c>
      <c r="AF192" s="59">
        <f t="shared" si="98"/>
        <v>1736</v>
      </c>
      <c r="AG192" s="59">
        <f t="shared" si="98"/>
        <v>1736</v>
      </c>
      <c r="AH192" s="59">
        <f t="shared" si="98"/>
        <v>1736</v>
      </c>
      <c r="AI192" s="59">
        <f t="shared" si="98"/>
        <v>1736</v>
      </c>
      <c r="AJ192" s="59">
        <f t="shared" si="98"/>
        <v>1736</v>
      </c>
      <c r="AK192" s="59">
        <f t="shared" si="98"/>
        <v>1736</v>
      </c>
    </row>
    <row r="193" spans="3:37" x14ac:dyDescent="0.25">
      <c r="F193" t="s">
        <v>258</v>
      </c>
      <c r="H193" t="s">
        <v>1015</v>
      </c>
      <c r="I193" s="59">
        <f t="shared" si="94"/>
        <v>753</v>
      </c>
      <c r="J193" s="59">
        <f t="shared" si="94"/>
        <v>753</v>
      </c>
      <c r="K193" s="59">
        <f t="shared" si="94"/>
        <v>809</v>
      </c>
      <c r="L193" s="59">
        <f t="shared" si="94"/>
        <v>809</v>
      </c>
      <c r="M193" s="59">
        <f t="shared" si="94"/>
        <v>809</v>
      </c>
      <c r="N193" s="59">
        <f t="shared" si="94"/>
        <v>809</v>
      </c>
      <c r="O193" s="59">
        <f t="shared" si="94"/>
        <v>812</v>
      </c>
      <c r="P193" s="59">
        <f t="shared" si="94"/>
        <v>817</v>
      </c>
      <c r="Q193" s="59">
        <f t="shared" si="94"/>
        <v>817</v>
      </c>
      <c r="R193" s="59">
        <f t="shared" si="94"/>
        <v>817</v>
      </c>
      <c r="S193" s="59">
        <f t="shared" si="94"/>
        <v>829</v>
      </c>
      <c r="T193" s="59">
        <f t="shared" si="94"/>
        <v>829</v>
      </c>
      <c r="U193" s="59">
        <f t="shared" si="94"/>
        <v>848</v>
      </c>
      <c r="V193" s="59">
        <f t="shared" si="94"/>
        <v>868</v>
      </c>
      <c r="W193" s="59">
        <v>901</v>
      </c>
      <c r="X193" s="59">
        <f t="shared" si="96"/>
        <v>902</v>
      </c>
      <c r="Y193" s="59">
        <f t="shared" si="96"/>
        <v>926</v>
      </c>
      <c r="Z193" s="59">
        <f t="shared" si="96"/>
        <v>928</v>
      </c>
      <c r="AA193" s="59">
        <f t="shared" ref="AA193:AK193" si="99">Z193+AA151</f>
        <v>936</v>
      </c>
      <c r="AB193" s="59">
        <f t="shared" si="99"/>
        <v>936</v>
      </c>
      <c r="AC193" s="59">
        <f t="shared" si="99"/>
        <v>936</v>
      </c>
      <c r="AD193" s="59">
        <f t="shared" si="99"/>
        <v>936</v>
      </c>
      <c r="AE193" s="59">
        <f t="shared" si="99"/>
        <v>936</v>
      </c>
      <c r="AF193" s="59">
        <f t="shared" si="99"/>
        <v>936</v>
      </c>
      <c r="AG193" s="59">
        <f t="shared" si="99"/>
        <v>936</v>
      </c>
      <c r="AH193" s="59">
        <f t="shared" si="99"/>
        <v>936</v>
      </c>
      <c r="AI193" s="59">
        <f t="shared" si="99"/>
        <v>936</v>
      </c>
      <c r="AJ193" s="59">
        <f t="shared" si="99"/>
        <v>936</v>
      </c>
      <c r="AK193" s="59">
        <f t="shared" si="99"/>
        <v>936</v>
      </c>
    </row>
    <row r="194" spans="3:37" x14ac:dyDescent="0.25">
      <c r="F194" t="s">
        <v>259</v>
      </c>
      <c r="H194" t="s">
        <v>1015</v>
      </c>
      <c r="I194" s="59">
        <f t="shared" si="94"/>
        <v>751</v>
      </c>
      <c r="J194" s="59">
        <f t="shared" si="94"/>
        <v>808</v>
      </c>
      <c r="K194" s="59">
        <f t="shared" si="94"/>
        <v>812</v>
      </c>
      <c r="L194" s="59">
        <f t="shared" si="94"/>
        <v>865</v>
      </c>
      <c r="M194" s="59">
        <f t="shared" si="94"/>
        <v>952</v>
      </c>
      <c r="N194" s="59">
        <f t="shared" si="94"/>
        <v>982</v>
      </c>
      <c r="O194" s="59">
        <f t="shared" si="94"/>
        <v>986</v>
      </c>
      <c r="P194" s="59">
        <f t="shared" si="94"/>
        <v>1017</v>
      </c>
      <c r="Q194" s="59">
        <f t="shared" si="94"/>
        <v>1037</v>
      </c>
      <c r="R194" s="59">
        <f t="shared" si="94"/>
        <v>1037</v>
      </c>
      <c r="S194" s="59">
        <f t="shared" si="94"/>
        <v>1039</v>
      </c>
      <c r="T194" s="59">
        <f t="shared" si="94"/>
        <v>1040</v>
      </c>
      <c r="U194" s="59">
        <f t="shared" si="94"/>
        <v>1061</v>
      </c>
      <c r="V194" s="59">
        <f t="shared" si="94"/>
        <v>1064</v>
      </c>
      <c r="W194" s="59">
        <v>1073</v>
      </c>
      <c r="X194" s="59">
        <f t="shared" si="96"/>
        <v>1074</v>
      </c>
      <c r="Y194" s="59">
        <f t="shared" si="96"/>
        <v>1077</v>
      </c>
      <c r="Z194" s="59">
        <f t="shared" si="96"/>
        <v>1082</v>
      </c>
      <c r="AA194" s="59">
        <f t="shared" ref="AA194:AK194" si="100">Z194+AA152</f>
        <v>1090</v>
      </c>
      <c r="AB194" s="59">
        <f t="shared" si="100"/>
        <v>1090</v>
      </c>
      <c r="AC194" s="59">
        <f t="shared" si="100"/>
        <v>1090</v>
      </c>
      <c r="AD194" s="59">
        <f t="shared" si="100"/>
        <v>1090</v>
      </c>
      <c r="AE194" s="59">
        <f t="shared" si="100"/>
        <v>1090</v>
      </c>
      <c r="AF194" s="59">
        <f t="shared" si="100"/>
        <v>1090</v>
      </c>
      <c r="AG194" s="59">
        <f t="shared" si="100"/>
        <v>1090</v>
      </c>
      <c r="AH194" s="59">
        <f t="shared" si="100"/>
        <v>1090</v>
      </c>
      <c r="AI194" s="59">
        <f t="shared" si="100"/>
        <v>1090</v>
      </c>
      <c r="AJ194" s="59">
        <f t="shared" si="100"/>
        <v>1090</v>
      </c>
      <c r="AK194" s="59">
        <f t="shared" si="100"/>
        <v>1090</v>
      </c>
    </row>
    <row r="195" spans="3:37" x14ac:dyDescent="0.25">
      <c r="F195" t="s">
        <v>260</v>
      </c>
      <c r="H195" t="s">
        <v>1015</v>
      </c>
      <c r="I195" s="59">
        <f t="shared" si="94"/>
        <v>416</v>
      </c>
      <c r="J195" s="59">
        <f t="shared" si="94"/>
        <v>429</v>
      </c>
      <c r="K195" s="59">
        <f t="shared" si="94"/>
        <v>436</v>
      </c>
      <c r="L195" s="59">
        <f t="shared" si="94"/>
        <v>447</v>
      </c>
      <c r="M195" s="59">
        <f t="shared" si="94"/>
        <v>454</v>
      </c>
      <c r="N195" s="59">
        <f t="shared" si="94"/>
        <v>457</v>
      </c>
      <c r="O195" s="59">
        <f t="shared" si="94"/>
        <v>465</v>
      </c>
      <c r="P195" s="59">
        <f t="shared" si="94"/>
        <v>470</v>
      </c>
      <c r="Q195" s="59">
        <f t="shared" si="94"/>
        <v>470</v>
      </c>
      <c r="R195" s="59">
        <f t="shared" si="94"/>
        <v>470</v>
      </c>
      <c r="S195" s="59">
        <f t="shared" si="94"/>
        <v>475</v>
      </c>
      <c r="T195" s="59">
        <f t="shared" si="94"/>
        <v>479</v>
      </c>
      <c r="U195" s="59">
        <f t="shared" si="94"/>
        <v>488</v>
      </c>
      <c r="V195" s="59">
        <f t="shared" si="94"/>
        <v>498</v>
      </c>
      <c r="W195" s="59">
        <v>503</v>
      </c>
      <c r="X195" s="59">
        <f t="shared" si="96"/>
        <v>509</v>
      </c>
      <c r="Y195" s="59">
        <f t="shared" si="96"/>
        <v>514</v>
      </c>
      <c r="Z195" s="59">
        <f t="shared" si="96"/>
        <v>525</v>
      </c>
      <c r="AA195" s="59">
        <f t="shared" ref="AA195:AK195" si="101">Z195+AA153</f>
        <v>532</v>
      </c>
      <c r="AB195" s="59">
        <f t="shared" si="101"/>
        <v>532</v>
      </c>
      <c r="AC195" s="59">
        <f t="shared" si="101"/>
        <v>532</v>
      </c>
      <c r="AD195" s="59">
        <f t="shared" si="101"/>
        <v>532</v>
      </c>
      <c r="AE195" s="59">
        <f t="shared" si="101"/>
        <v>532</v>
      </c>
      <c r="AF195" s="59">
        <f t="shared" si="101"/>
        <v>532</v>
      </c>
      <c r="AG195" s="59">
        <f t="shared" si="101"/>
        <v>532</v>
      </c>
      <c r="AH195" s="59">
        <f t="shared" si="101"/>
        <v>532</v>
      </c>
      <c r="AI195" s="59">
        <f t="shared" si="101"/>
        <v>532</v>
      </c>
      <c r="AJ195" s="59">
        <f t="shared" si="101"/>
        <v>532</v>
      </c>
      <c r="AK195" s="59">
        <f t="shared" si="101"/>
        <v>532</v>
      </c>
    </row>
    <row r="196" spans="3:37" x14ac:dyDescent="0.25">
      <c r="F196" t="s">
        <v>261</v>
      </c>
      <c r="H196" t="s">
        <v>1015</v>
      </c>
      <c r="I196" s="59">
        <f t="shared" si="94"/>
        <v>144</v>
      </c>
      <c r="J196" s="59">
        <f t="shared" si="94"/>
        <v>144</v>
      </c>
      <c r="K196" s="59">
        <f t="shared" si="94"/>
        <v>145</v>
      </c>
      <c r="L196" s="59">
        <f t="shared" si="94"/>
        <v>146</v>
      </c>
      <c r="M196" s="59">
        <f t="shared" si="94"/>
        <v>147</v>
      </c>
      <c r="N196" s="59">
        <f t="shared" si="94"/>
        <v>148</v>
      </c>
      <c r="O196" s="59">
        <f t="shared" si="94"/>
        <v>158</v>
      </c>
      <c r="P196" s="59">
        <f t="shared" si="94"/>
        <v>168</v>
      </c>
      <c r="Q196" s="59">
        <f t="shared" si="94"/>
        <v>176</v>
      </c>
      <c r="R196" s="59">
        <f t="shared" si="94"/>
        <v>176</v>
      </c>
      <c r="S196" s="59">
        <f t="shared" si="94"/>
        <v>177</v>
      </c>
      <c r="T196" s="59">
        <f t="shared" si="94"/>
        <v>177</v>
      </c>
      <c r="U196" s="59">
        <f t="shared" si="94"/>
        <v>177</v>
      </c>
      <c r="V196" s="59">
        <f t="shared" si="94"/>
        <v>177</v>
      </c>
      <c r="W196" s="59">
        <v>177</v>
      </c>
      <c r="X196" s="59">
        <f t="shared" si="96"/>
        <v>180</v>
      </c>
      <c r="Y196" s="59">
        <f t="shared" si="96"/>
        <v>194</v>
      </c>
      <c r="Z196" s="59">
        <f t="shared" si="96"/>
        <v>194</v>
      </c>
      <c r="AA196" s="59">
        <f t="shared" ref="AA196:AK196" si="102">Z196+AA154</f>
        <v>194</v>
      </c>
      <c r="AB196" s="59">
        <f t="shared" si="102"/>
        <v>194</v>
      </c>
      <c r="AC196" s="59">
        <f t="shared" si="102"/>
        <v>194</v>
      </c>
      <c r="AD196" s="59">
        <f t="shared" si="102"/>
        <v>194</v>
      </c>
      <c r="AE196" s="59">
        <f t="shared" si="102"/>
        <v>194</v>
      </c>
      <c r="AF196" s="59">
        <f t="shared" si="102"/>
        <v>194</v>
      </c>
      <c r="AG196" s="59">
        <f t="shared" si="102"/>
        <v>194</v>
      </c>
      <c r="AH196" s="59">
        <f t="shared" si="102"/>
        <v>194</v>
      </c>
      <c r="AI196" s="59">
        <f t="shared" si="102"/>
        <v>194</v>
      </c>
      <c r="AJ196" s="59">
        <f t="shared" si="102"/>
        <v>194</v>
      </c>
      <c r="AK196" s="59">
        <f t="shared" si="102"/>
        <v>194</v>
      </c>
    </row>
    <row r="197" spans="3:37" x14ac:dyDescent="0.25">
      <c r="F197" t="s">
        <v>262</v>
      </c>
      <c r="H197" t="s">
        <v>1015</v>
      </c>
      <c r="I197" s="59">
        <f t="shared" si="94"/>
        <v>91</v>
      </c>
      <c r="J197" s="59">
        <f t="shared" si="94"/>
        <v>93</v>
      </c>
      <c r="K197" s="59">
        <f t="shared" si="94"/>
        <v>93</v>
      </c>
      <c r="L197" s="59">
        <f t="shared" si="94"/>
        <v>93</v>
      </c>
      <c r="M197" s="59">
        <f t="shared" si="94"/>
        <v>94</v>
      </c>
      <c r="N197" s="59">
        <f t="shared" si="94"/>
        <v>95</v>
      </c>
      <c r="O197" s="59">
        <f t="shared" si="94"/>
        <v>96</v>
      </c>
      <c r="P197" s="59">
        <f t="shared" si="94"/>
        <v>96</v>
      </c>
      <c r="Q197" s="59">
        <f t="shared" si="94"/>
        <v>96</v>
      </c>
      <c r="R197" s="59">
        <f t="shared" si="94"/>
        <v>96</v>
      </c>
      <c r="S197" s="59">
        <f t="shared" si="94"/>
        <v>96</v>
      </c>
      <c r="T197" s="59">
        <f t="shared" si="94"/>
        <v>96</v>
      </c>
      <c r="U197" s="59">
        <f t="shared" si="94"/>
        <v>96</v>
      </c>
      <c r="V197" s="59">
        <f t="shared" si="94"/>
        <v>96</v>
      </c>
      <c r="W197" s="59">
        <v>96</v>
      </c>
      <c r="X197" s="59">
        <f t="shared" si="96"/>
        <v>96</v>
      </c>
      <c r="Y197" s="59">
        <f t="shared" si="96"/>
        <v>96</v>
      </c>
      <c r="Z197" s="59">
        <f t="shared" si="96"/>
        <v>97</v>
      </c>
      <c r="AA197" s="59">
        <f t="shared" ref="AA197:AK197" si="103">Z197+AA155</f>
        <v>97</v>
      </c>
      <c r="AB197" s="59">
        <f t="shared" si="103"/>
        <v>97</v>
      </c>
      <c r="AC197" s="59">
        <f t="shared" si="103"/>
        <v>97</v>
      </c>
      <c r="AD197" s="59">
        <f t="shared" si="103"/>
        <v>97</v>
      </c>
      <c r="AE197" s="59">
        <f t="shared" si="103"/>
        <v>97</v>
      </c>
      <c r="AF197" s="59">
        <f t="shared" si="103"/>
        <v>97</v>
      </c>
      <c r="AG197" s="59">
        <f t="shared" si="103"/>
        <v>97</v>
      </c>
      <c r="AH197" s="59">
        <f t="shared" si="103"/>
        <v>97</v>
      </c>
      <c r="AI197" s="59">
        <f t="shared" si="103"/>
        <v>97</v>
      </c>
      <c r="AJ197" s="59">
        <f t="shared" si="103"/>
        <v>97</v>
      </c>
      <c r="AK197" s="59">
        <f t="shared" si="103"/>
        <v>97</v>
      </c>
    </row>
    <row r="198" spans="3:37" x14ac:dyDescent="0.25">
      <c r="F198" t="s">
        <v>263</v>
      </c>
      <c r="H198" t="s">
        <v>1015</v>
      </c>
      <c r="I198" s="59">
        <f t="shared" si="94"/>
        <v>150</v>
      </c>
      <c r="J198" s="59">
        <f t="shared" si="94"/>
        <v>152</v>
      </c>
      <c r="K198" s="59">
        <f t="shared" si="94"/>
        <v>155</v>
      </c>
      <c r="L198" s="59">
        <f t="shared" si="94"/>
        <v>158</v>
      </c>
      <c r="M198" s="59">
        <f t="shared" si="94"/>
        <v>164</v>
      </c>
      <c r="N198" s="59">
        <f t="shared" si="94"/>
        <v>170</v>
      </c>
      <c r="O198" s="59">
        <f t="shared" si="94"/>
        <v>173</v>
      </c>
      <c r="P198" s="59">
        <f t="shared" si="94"/>
        <v>183</v>
      </c>
      <c r="Q198" s="59">
        <f t="shared" si="94"/>
        <v>183</v>
      </c>
      <c r="R198" s="59">
        <f t="shared" si="94"/>
        <v>185</v>
      </c>
      <c r="S198" s="59">
        <f t="shared" si="94"/>
        <v>188</v>
      </c>
      <c r="T198" s="59">
        <f t="shared" si="94"/>
        <v>189</v>
      </c>
      <c r="U198" s="59">
        <f t="shared" si="94"/>
        <v>192</v>
      </c>
      <c r="V198" s="59">
        <f t="shared" si="94"/>
        <v>204</v>
      </c>
      <c r="W198" s="59">
        <v>205</v>
      </c>
      <c r="X198" s="59">
        <f t="shared" si="96"/>
        <v>207</v>
      </c>
      <c r="Y198" s="59">
        <f t="shared" si="96"/>
        <v>207</v>
      </c>
      <c r="Z198" s="59">
        <f t="shared" si="96"/>
        <v>208</v>
      </c>
      <c r="AA198" s="59">
        <f t="shared" ref="AA198:AK198" si="104">Z198+AA156</f>
        <v>208</v>
      </c>
      <c r="AB198" s="59">
        <f t="shared" si="104"/>
        <v>208</v>
      </c>
      <c r="AC198" s="59">
        <f t="shared" si="104"/>
        <v>208</v>
      </c>
      <c r="AD198" s="59">
        <f t="shared" si="104"/>
        <v>208</v>
      </c>
      <c r="AE198" s="59">
        <f t="shared" si="104"/>
        <v>208</v>
      </c>
      <c r="AF198" s="59">
        <f t="shared" si="104"/>
        <v>208</v>
      </c>
      <c r="AG198" s="59">
        <f t="shared" si="104"/>
        <v>208</v>
      </c>
      <c r="AH198" s="59">
        <f t="shared" si="104"/>
        <v>208</v>
      </c>
      <c r="AI198" s="59">
        <f t="shared" si="104"/>
        <v>208</v>
      </c>
      <c r="AJ198" s="59">
        <f t="shared" si="104"/>
        <v>208</v>
      </c>
      <c r="AK198" s="59">
        <f t="shared" si="104"/>
        <v>208</v>
      </c>
    </row>
    <row r="199" spans="3:37" x14ac:dyDescent="0.25">
      <c r="F199" t="s">
        <v>264</v>
      </c>
      <c r="H199" t="s">
        <v>1015</v>
      </c>
      <c r="I199" s="59">
        <f t="shared" si="94"/>
        <v>215</v>
      </c>
      <c r="J199" s="59">
        <f t="shared" si="94"/>
        <v>255</v>
      </c>
      <c r="K199" s="59">
        <f t="shared" si="94"/>
        <v>265</v>
      </c>
      <c r="L199" s="59">
        <f t="shared" si="94"/>
        <v>266</v>
      </c>
      <c r="M199" s="59">
        <f t="shared" si="94"/>
        <v>268</v>
      </c>
      <c r="N199" s="59">
        <f t="shared" si="94"/>
        <v>269</v>
      </c>
      <c r="O199" s="59">
        <f t="shared" si="94"/>
        <v>274</v>
      </c>
      <c r="P199" s="59">
        <f t="shared" si="94"/>
        <v>276</v>
      </c>
      <c r="Q199" s="59">
        <f t="shared" si="94"/>
        <v>278</v>
      </c>
      <c r="R199" s="59">
        <f t="shared" si="94"/>
        <v>280</v>
      </c>
      <c r="S199" s="59">
        <f t="shared" si="94"/>
        <v>280</v>
      </c>
      <c r="T199" s="59">
        <f t="shared" si="94"/>
        <v>282</v>
      </c>
      <c r="U199" s="59">
        <f t="shared" si="94"/>
        <v>283</v>
      </c>
      <c r="V199" s="59">
        <f t="shared" si="94"/>
        <v>284</v>
      </c>
      <c r="W199" s="59">
        <v>285</v>
      </c>
      <c r="X199" s="59">
        <f t="shared" si="96"/>
        <v>289</v>
      </c>
      <c r="Y199" s="59">
        <f t="shared" si="96"/>
        <v>294</v>
      </c>
      <c r="Z199" s="59">
        <f t="shared" si="96"/>
        <v>295</v>
      </c>
      <c r="AA199" s="59">
        <f t="shared" ref="AA199:AK199" si="105">Z199+AA157</f>
        <v>296</v>
      </c>
      <c r="AB199" s="59">
        <f t="shared" si="105"/>
        <v>296</v>
      </c>
      <c r="AC199" s="59">
        <f t="shared" si="105"/>
        <v>296</v>
      </c>
      <c r="AD199" s="59">
        <f t="shared" si="105"/>
        <v>296</v>
      </c>
      <c r="AE199" s="59">
        <f t="shared" si="105"/>
        <v>296</v>
      </c>
      <c r="AF199" s="59">
        <f t="shared" si="105"/>
        <v>296</v>
      </c>
      <c r="AG199" s="59">
        <f t="shared" si="105"/>
        <v>296</v>
      </c>
      <c r="AH199" s="59">
        <f t="shared" si="105"/>
        <v>296</v>
      </c>
      <c r="AI199" s="59">
        <f t="shared" si="105"/>
        <v>296</v>
      </c>
      <c r="AJ199" s="59">
        <f t="shared" si="105"/>
        <v>296</v>
      </c>
      <c r="AK199" s="59">
        <f t="shared" si="105"/>
        <v>296</v>
      </c>
    </row>
    <row r="200" spans="3:37" x14ac:dyDescent="0.25">
      <c r="F200" t="s">
        <v>265</v>
      </c>
      <c r="H200" t="s">
        <v>1015</v>
      </c>
      <c r="I200" s="59">
        <f t="shared" si="94"/>
        <v>151</v>
      </c>
      <c r="J200" s="59">
        <f t="shared" si="94"/>
        <v>153</v>
      </c>
      <c r="K200" s="59">
        <f t="shared" si="94"/>
        <v>155</v>
      </c>
      <c r="L200" s="59">
        <f t="shared" si="94"/>
        <v>157</v>
      </c>
      <c r="M200" s="59">
        <f t="shared" si="94"/>
        <v>158</v>
      </c>
      <c r="N200" s="59">
        <f t="shared" si="94"/>
        <v>165</v>
      </c>
      <c r="O200" s="59">
        <f t="shared" si="94"/>
        <v>173</v>
      </c>
      <c r="P200" s="59">
        <f t="shared" si="94"/>
        <v>185</v>
      </c>
      <c r="Q200" s="59">
        <f t="shared" si="94"/>
        <v>216</v>
      </c>
      <c r="R200" s="59">
        <f t="shared" si="94"/>
        <v>222</v>
      </c>
      <c r="S200" s="59">
        <f t="shared" si="94"/>
        <v>225</v>
      </c>
      <c r="T200" s="59">
        <f t="shared" si="94"/>
        <v>242</v>
      </c>
      <c r="U200" s="59">
        <f t="shared" si="94"/>
        <v>242</v>
      </c>
      <c r="V200" s="59">
        <f t="shared" si="94"/>
        <v>262</v>
      </c>
      <c r="W200" s="59">
        <v>276</v>
      </c>
      <c r="X200" s="59">
        <f t="shared" si="96"/>
        <v>300</v>
      </c>
      <c r="Y200" s="59">
        <f t="shared" si="96"/>
        <v>328</v>
      </c>
      <c r="Z200" s="59">
        <f t="shared" si="96"/>
        <v>338</v>
      </c>
      <c r="AA200" s="59">
        <f t="shared" ref="AA200:AK200" si="106">Z200+AA158</f>
        <v>351</v>
      </c>
      <c r="AB200" s="59">
        <f t="shared" si="106"/>
        <v>351</v>
      </c>
      <c r="AC200" s="59">
        <f t="shared" si="106"/>
        <v>351</v>
      </c>
      <c r="AD200" s="59">
        <f t="shared" si="106"/>
        <v>351</v>
      </c>
      <c r="AE200" s="59">
        <f t="shared" si="106"/>
        <v>351</v>
      </c>
      <c r="AF200" s="59">
        <f t="shared" si="106"/>
        <v>351</v>
      </c>
      <c r="AG200" s="59">
        <f t="shared" si="106"/>
        <v>351</v>
      </c>
      <c r="AH200" s="59">
        <f t="shared" si="106"/>
        <v>351</v>
      </c>
      <c r="AI200" s="59">
        <f t="shared" si="106"/>
        <v>351</v>
      </c>
      <c r="AJ200" s="59">
        <f t="shared" si="106"/>
        <v>351</v>
      </c>
      <c r="AK200" s="59">
        <f t="shared" si="106"/>
        <v>351</v>
      </c>
    </row>
    <row r="201" spans="3:37" x14ac:dyDescent="0.25">
      <c r="F201" t="s">
        <v>271</v>
      </c>
      <c r="H201" t="s">
        <v>1015</v>
      </c>
      <c r="I201" s="59">
        <f t="shared" si="94"/>
        <v>69</v>
      </c>
      <c r="J201" s="59">
        <f t="shared" si="94"/>
        <v>70</v>
      </c>
      <c r="K201" s="59">
        <f t="shared" si="94"/>
        <v>70</v>
      </c>
      <c r="L201" s="59">
        <f t="shared" si="94"/>
        <v>72</v>
      </c>
      <c r="M201" s="59">
        <f t="shared" si="94"/>
        <v>74</v>
      </c>
      <c r="N201" s="59">
        <f t="shared" si="94"/>
        <v>80</v>
      </c>
      <c r="O201" s="59">
        <f t="shared" si="94"/>
        <v>82</v>
      </c>
      <c r="P201" s="59">
        <f t="shared" si="94"/>
        <v>83</v>
      </c>
      <c r="Q201" s="59">
        <f t="shared" si="94"/>
        <v>84</v>
      </c>
      <c r="R201" s="59">
        <f t="shared" si="94"/>
        <v>84</v>
      </c>
      <c r="S201" s="59">
        <f t="shared" si="94"/>
        <v>84</v>
      </c>
      <c r="T201" s="59">
        <f t="shared" si="94"/>
        <v>85</v>
      </c>
      <c r="U201" s="59">
        <f t="shared" si="94"/>
        <v>85</v>
      </c>
      <c r="V201" s="59">
        <f t="shared" si="94"/>
        <v>86</v>
      </c>
      <c r="W201" s="59">
        <v>88</v>
      </c>
      <c r="X201" s="59">
        <f t="shared" si="96"/>
        <v>91</v>
      </c>
      <c r="Y201" s="59">
        <f t="shared" si="96"/>
        <v>93</v>
      </c>
      <c r="Z201" s="59">
        <f t="shared" si="96"/>
        <v>95</v>
      </c>
      <c r="AA201" s="59">
        <f t="shared" ref="AA201:AK201" si="107">Z201+AA159</f>
        <v>96</v>
      </c>
      <c r="AB201" s="59">
        <f t="shared" si="107"/>
        <v>96</v>
      </c>
      <c r="AC201" s="59">
        <f t="shared" si="107"/>
        <v>96</v>
      </c>
      <c r="AD201" s="59">
        <f t="shared" si="107"/>
        <v>96</v>
      </c>
      <c r="AE201" s="59">
        <f t="shared" si="107"/>
        <v>96</v>
      </c>
      <c r="AF201" s="59">
        <f t="shared" si="107"/>
        <v>96</v>
      </c>
      <c r="AG201" s="59">
        <f t="shared" si="107"/>
        <v>96</v>
      </c>
      <c r="AH201" s="59">
        <f t="shared" si="107"/>
        <v>96</v>
      </c>
      <c r="AI201" s="59">
        <f t="shared" si="107"/>
        <v>96</v>
      </c>
      <c r="AJ201" s="59">
        <f t="shared" si="107"/>
        <v>96</v>
      </c>
      <c r="AK201" s="59">
        <f t="shared" si="107"/>
        <v>96</v>
      </c>
    </row>
    <row r="202" spans="3:37" x14ac:dyDescent="0.25">
      <c r="C202" s="16"/>
      <c r="D202" s="16" t="s">
        <v>3</v>
      </c>
      <c r="E202" s="16"/>
      <c r="F202" s="16"/>
      <c r="G202" s="16"/>
      <c r="H202" s="16" t="s">
        <v>1015</v>
      </c>
      <c r="I202" s="61">
        <f t="shared" ref="I202:AK202" si="108">SUM(I203:I207)</f>
        <v>3565</v>
      </c>
      <c r="J202" s="61">
        <f t="shared" si="108"/>
        <v>3625</v>
      </c>
      <c r="K202" s="61">
        <f t="shared" si="108"/>
        <v>3757</v>
      </c>
      <c r="L202" s="61">
        <f t="shared" si="108"/>
        <v>3833</v>
      </c>
      <c r="M202" s="61">
        <f t="shared" si="108"/>
        <v>3942</v>
      </c>
      <c r="N202" s="61">
        <f t="shared" si="108"/>
        <v>4029</v>
      </c>
      <c r="O202" s="61">
        <f t="shared" si="108"/>
        <v>4109</v>
      </c>
      <c r="P202" s="61">
        <f t="shared" si="108"/>
        <v>4190</v>
      </c>
      <c r="Q202" s="61">
        <f t="shared" si="108"/>
        <v>4277</v>
      </c>
      <c r="R202" s="61">
        <f t="shared" si="108"/>
        <v>4318</v>
      </c>
      <c r="S202" s="61">
        <f t="shared" si="108"/>
        <v>4349</v>
      </c>
      <c r="T202" s="61">
        <f t="shared" si="108"/>
        <v>4377</v>
      </c>
      <c r="U202" s="61">
        <f t="shared" si="108"/>
        <v>4423</v>
      </c>
      <c r="V202" s="61">
        <f t="shared" si="108"/>
        <v>4472</v>
      </c>
      <c r="W202" s="61">
        <f t="shared" si="108"/>
        <v>4525</v>
      </c>
      <c r="X202" s="61">
        <f t="shared" si="108"/>
        <v>4582</v>
      </c>
      <c r="Y202" s="61">
        <f t="shared" si="108"/>
        <v>4639</v>
      </c>
      <c r="Z202" s="61">
        <f t="shared" si="108"/>
        <v>4715</v>
      </c>
      <c r="AA202" s="61">
        <f t="shared" si="108"/>
        <v>4773</v>
      </c>
      <c r="AB202" s="61">
        <f t="shared" si="108"/>
        <v>4773</v>
      </c>
      <c r="AC202" s="61">
        <f t="shared" si="108"/>
        <v>4773</v>
      </c>
      <c r="AD202" s="61">
        <f t="shared" si="108"/>
        <v>4773</v>
      </c>
      <c r="AE202" s="61">
        <f t="shared" si="108"/>
        <v>4773</v>
      </c>
      <c r="AF202" s="61">
        <f t="shared" si="108"/>
        <v>4773</v>
      </c>
      <c r="AG202" s="61">
        <f t="shared" si="108"/>
        <v>4773</v>
      </c>
      <c r="AH202" s="61">
        <f t="shared" si="108"/>
        <v>4773</v>
      </c>
      <c r="AI202" s="61">
        <f t="shared" si="108"/>
        <v>4773</v>
      </c>
      <c r="AJ202" s="61">
        <f t="shared" si="108"/>
        <v>4773</v>
      </c>
      <c r="AK202" s="61">
        <f t="shared" si="108"/>
        <v>4773</v>
      </c>
    </row>
    <row r="203" spans="3:37" x14ac:dyDescent="0.25">
      <c r="F203" t="s">
        <v>269</v>
      </c>
      <c r="H203" t="s">
        <v>1015</v>
      </c>
      <c r="I203" s="59">
        <f t="shared" si="94"/>
        <v>772</v>
      </c>
      <c r="J203" s="59">
        <f t="shared" si="94"/>
        <v>773</v>
      </c>
      <c r="K203" s="59">
        <f t="shared" si="94"/>
        <v>778</v>
      </c>
      <c r="L203" s="59">
        <f t="shared" si="94"/>
        <v>787</v>
      </c>
      <c r="M203" s="59">
        <f t="shared" si="94"/>
        <v>795</v>
      </c>
      <c r="N203" s="59">
        <f t="shared" si="94"/>
        <v>818</v>
      </c>
      <c r="O203" s="59">
        <f t="shared" si="94"/>
        <v>826</v>
      </c>
      <c r="P203" s="59">
        <f t="shared" si="94"/>
        <v>856</v>
      </c>
      <c r="Q203" s="59">
        <f t="shared" si="94"/>
        <v>878</v>
      </c>
      <c r="R203" s="59">
        <f t="shared" si="94"/>
        <v>888</v>
      </c>
      <c r="S203" s="59">
        <f t="shared" si="94"/>
        <v>892</v>
      </c>
      <c r="T203" s="59">
        <f t="shared" si="94"/>
        <v>896</v>
      </c>
      <c r="U203" s="59">
        <f t="shared" si="94"/>
        <v>906</v>
      </c>
      <c r="V203" s="59">
        <f t="shared" si="94"/>
        <v>912</v>
      </c>
      <c r="W203" s="59">
        <v>927</v>
      </c>
      <c r="X203" s="59">
        <f t="shared" ref="X203:Z207" si="109">W203+X161</f>
        <v>937</v>
      </c>
      <c r="Y203" s="59">
        <f t="shared" si="109"/>
        <v>946</v>
      </c>
      <c r="Z203" s="59">
        <f t="shared" si="109"/>
        <v>977</v>
      </c>
      <c r="AA203" s="59">
        <f t="shared" ref="AA203:AK203" si="110">Z203+AA161</f>
        <v>996</v>
      </c>
      <c r="AB203" s="59">
        <f t="shared" si="110"/>
        <v>996</v>
      </c>
      <c r="AC203" s="59">
        <f t="shared" si="110"/>
        <v>996</v>
      </c>
      <c r="AD203" s="59">
        <f t="shared" si="110"/>
        <v>996</v>
      </c>
      <c r="AE203" s="59">
        <f t="shared" si="110"/>
        <v>996</v>
      </c>
      <c r="AF203" s="59">
        <f t="shared" si="110"/>
        <v>996</v>
      </c>
      <c r="AG203" s="59">
        <f t="shared" si="110"/>
        <v>996</v>
      </c>
      <c r="AH203" s="59">
        <f t="shared" si="110"/>
        <v>996</v>
      </c>
      <c r="AI203" s="59">
        <f t="shared" si="110"/>
        <v>996</v>
      </c>
      <c r="AJ203" s="59">
        <f t="shared" si="110"/>
        <v>996</v>
      </c>
      <c r="AK203" s="59">
        <f t="shared" si="110"/>
        <v>996</v>
      </c>
    </row>
    <row r="204" spans="3:37" x14ac:dyDescent="0.25">
      <c r="F204" t="s">
        <v>266</v>
      </c>
      <c r="H204" t="s">
        <v>1015</v>
      </c>
      <c r="I204" s="59">
        <f t="shared" si="94"/>
        <v>1117</v>
      </c>
      <c r="J204" s="59">
        <f t="shared" si="94"/>
        <v>1135</v>
      </c>
      <c r="K204" s="59">
        <f t="shared" si="94"/>
        <v>1149</v>
      </c>
      <c r="L204" s="59">
        <f t="shared" si="94"/>
        <v>1181</v>
      </c>
      <c r="M204" s="59">
        <f t="shared" si="94"/>
        <v>1246</v>
      </c>
      <c r="N204" s="59">
        <f t="shared" si="94"/>
        <v>1289</v>
      </c>
      <c r="O204" s="59">
        <f t="shared" si="94"/>
        <v>1324</v>
      </c>
      <c r="P204" s="59">
        <f t="shared" si="94"/>
        <v>1355</v>
      </c>
      <c r="Q204" s="59">
        <f t="shared" si="94"/>
        <v>1407</v>
      </c>
      <c r="R204" s="59">
        <f t="shared" si="94"/>
        <v>1429</v>
      </c>
      <c r="S204" s="59">
        <f t="shared" si="94"/>
        <v>1449</v>
      </c>
      <c r="T204" s="59">
        <f t="shared" si="94"/>
        <v>1464</v>
      </c>
      <c r="U204" s="59">
        <f t="shared" si="94"/>
        <v>1487</v>
      </c>
      <c r="V204" s="59">
        <f t="shared" si="94"/>
        <v>1502</v>
      </c>
      <c r="W204" s="59">
        <v>1524</v>
      </c>
      <c r="X204" s="59">
        <f t="shared" si="109"/>
        <v>1554</v>
      </c>
      <c r="Y204" s="59">
        <f t="shared" si="109"/>
        <v>1581</v>
      </c>
      <c r="Z204" s="59">
        <f t="shared" si="109"/>
        <v>1604</v>
      </c>
      <c r="AA204" s="59">
        <f t="shared" ref="AA204:AK204" si="111">Z204+AA162</f>
        <v>1636</v>
      </c>
      <c r="AB204" s="59">
        <f t="shared" si="111"/>
        <v>1636</v>
      </c>
      <c r="AC204" s="59">
        <f t="shared" si="111"/>
        <v>1636</v>
      </c>
      <c r="AD204" s="59">
        <f t="shared" si="111"/>
        <v>1636</v>
      </c>
      <c r="AE204" s="59">
        <f t="shared" si="111"/>
        <v>1636</v>
      </c>
      <c r="AF204" s="59">
        <f t="shared" si="111"/>
        <v>1636</v>
      </c>
      <c r="AG204" s="59">
        <f t="shared" si="111"/>
        <v>1636</v>
      </c>
      <c r="AH204" s="59">
        <f t="shared" si="111"/>
        <v>1636</v>
      </c>
      <c r="AI204" s="59">
        <f t="shared" si="111"/>
        <v>1636</v>
      </c>
      <c r="AJ204" s="59">
        <f t="shared" si="111"/>
        <v>1636</v>
      </c>
      <c r="AK204" s="59">
        <f t="shared" si="111"/>
        <v>1636</v>
      </c>
    </row>
    <row r="205" spans="3:37" x14ac:dyDescent="0.25">
      <c r="F205" t="s">
        <v>267</v>
      </c>
      <c r="H205" t="s">
        <v>1015</v>
      </c>
      <c r="I205" s="59">
        <f t="shared" si="94"/>
        <v>768</v>
      </c>
      <c r="J205" s="59">
        <f t="shared" si="94"/>
        <v>800</v>
      </c>
      <c r="K205" s="59">
        <f t="shared" si="94"/>
        <v>901</v>
      </c>
      <c r="L205" s="59">
        <f t="shared" si="94"/>
        <v>922</v>
      </c>
      <c r="M205" s="59">
        <f t="shared" si="94"/>
        <v>943</v>
      </c>
      <c r="N205" s="59">
        <f t="shared" si="94"/>
        <v>956</v>
      </c>
      <c r="O205" s="59">
        <f t="shared" si="94"/>
        <v>984</v>
      </c>
      <c r="P205" s="59">
        <f t="shared" si="94"/>
        <v>994</v>
      </c>
      <c r="Q205" s="59">
        <f t="shared" si="94"/>
        <v>998</v>
      </c>
      <c r="R205" s="59">
        <f t="shared" si="94"/>
        <v>998</v>
      </c>
      <c r="S205" s="59">
        <f t="shared" si="94"/>
        <v>1001</v>
      </c>
      <c r="T205" s="59">
        <f t="shared" si="94"/>
        <v>1005</v>
      </c>
      <c r="U205" s="59">
        <f t="shared" si="94"/>
        <v>1009</v>
      </c>
      <c r="V205" s="59">
        <f t="shared" si="94"/>
        <v>1023</v>
      </c>
      <c r="W205" s="59">
        <v>1028</v>
      </c>
      <c r="X205" s="59">
        <f t="shared" si="109"/>
        <v>1029</v>
      </c>
      <c r="Y205" s="59">
        <f t="shared" si="109"/>
        <v>1036</v>
      </c>
      <c r="Z205" s="59">
        <f t="shared" si="109"/>
        <v>1038</v>
      </c>
      <c r="AA205" s="59">
        <f t="shared" ref="AA205:AK205" si="112">Z205+AA163</f>
        <v>1040</v>
      </c>
      <c r="AB205" s="59">
        <f t="shared" si="112"/>
        <v>1040</v>
      </c>
      <c r="AC205" s="59">
        <f t="shared" si="112"/>
        <v>1040</v>
      </c>
      <c r="AD205" s="59">
        <f t="shared" si="112"/>
        <v>1040</v>
      </c>
      <c r="AE205" s="59">
        <f t="shared" si="112"/>
        <v>1040</v>
      </c>
      <c r="AF205" s="59">
        <f t="shared" si="112"/>
        <v>1040</v>
      </c>
      <c r="AG205" s="59">
        <f t="shared" si="112"/>
        <v>1040</v>
      </c>
      <c r="AH205" s="59">
        <f t="shared" si="112"/>
        <v>1040</v>
      </c>
      <c r="AI205" s="59">
        <f t="shared" si="112"/>
        <v>1040</v>
      </c>
      <c r="AJ205" s="59">
        <f t="shared" si="112"/>
        <v>1040</v>
      </c>
      <c r="AK205" s="59">
        <f t="shared" si="112"/>
        <v>1040</v>
      </c>
    </row>
    <row r="206" spans="3:37" x14ac:dyDescent="0.25">
      <c r="F206" t="s">
        <v>270</v>
      </c>
      <c r="H206" t="s">
        <v>1015</v>
      </c>
      <c r="I206" s="59">
        <f t="shared" ref="I206:V207" si="113">J206-J164</f>
        <v>134</v>
      </c>
      <c r="J206" s="59">
        <f t="shared" si="113"/>
        <v>135</v>
      </c>
      <c r="K206" s="59">
        <f t="shared" si="113"/>
        <v>136</v>
      </c>
      <c r="L206" s="59">
        <f t="shared" si="113"/>
        <v>139</v>
      </c>
      <c r="M206" s="59">
        <f t="shared" si="113"/>
        <v>145</v>
      </c>
      <c r="N206" s="59">
        <f t="shared" si="113"/>
        <v>148</v>
      </c>
      <c r="O206" s="59">
        <f t="shared" si="113"/>
        <v>151</v>
      </c>
      <c r="P206" s="59">
        <f t="shared" si="113"/>
        <v>153</v>
      </c>
      <c r="Q206" s="59">
        <f t="shared" si="113"/>
        <v>157</v>
      </c>
      <c r="R206" s="59">
        <f t="shared" si="113"/>
        <v>159</v>
      </c>
      <c r="S206" s="59">
        <f t="shared" si="113"/>
        <v>160</v>
      </c>
      <c r="T206" s="59">
        <f t="shared" si="113"/>
        <v>160</v>
      </c>
      <c r="U206" s="59">
        <f t="shared" si="113"/>
        <v>164</v>
      </c>
      <c r="V206" s="59">
        <f t="shared" si="113"/>
        <v>168</v>
      </c>
      <c r="W206" s="59">
        <v>170</v>
      </c>
      <c r="X206" s="59">
        <f t="shared" si="109"/>
        <v>172</v>
      </c>
      <c r="Y206" s="59">
        <f t="shared" si="109"/>
        <v>173</v>
      </c>
      <c r="Z206" s="59">
        <f t="shared" si="109"/>
        <v>176</v>
      </c>
      <c r="AA206" s="59">
        <f t="shared" ref="AA206:AK206" si="114">Z206+AA164</f>
        <v>178</v>
      </c>
      <c r="AB206" s="59">
        <f t="shared" si="114"/>
        <v>178</v>
      </c>
      <c r="AC206" s="59">
        <f t="shared" si="114"/>
        <v>178</v>
      </c>
      <c r="AD206" s="59">
        <f t="shared" si="114"/>
        <v>178</v>
      </c>
      <c r="AE206" s="59">
        <f t="shared" si="114"/>
        <v>178</v>
      </c>
      <c r="AF206" s="59">
        <f t="shared" si="114"/>
        <v>178</v>
      </c>
      <c r="AG206" s="59">
        <f t="shared" si="114"/>
        <v>178</v>
      </c>
      <c r="AH206" s="59">
        <f t="shared" si="114"/>
        <v>178</v>
      </c>
      <c r="AI206" s="59">
        <f t="shared" si="114"/>
        <v>178</v>
      </c>
      <c r="AJ206" s="59">
        <f t="shared" si="114"/>
        <v>178</v>
      </c>
      <c r="AK206" s="59">
        <f t="shared" si="114"/>
        <v>178</v>
      </c>
    </row>
    <row r="207" spans="3:37" x14ac:dyDescent="0.25">
      <c r="F207" t="s">
        <v>268</v>
      </c>
      <c r="H207" t="s">
        <v>1015</v>
      </c>
      <c r="I207" s="59">
        <f t="shared" si="113"/>
        <v>774</v>
      </c>
      <c r="J207" s="59">
        <f t="shared" si="113"/>
        <v>782</v>
      </c>
      <c r="K207" s="59">
        <f t="shared" si="113"/>
        <v>793</v>
      </c>
      <c r="L207" s="59">
        <f t="shared" si="113"/>
        <v>804</v>
      </c>
      <c r="M207" s="59">
        <f t="shared" si="113"/>
        <v>813</v>
      </c>
      <c r="N207" s="59">
        <f t="shared" si="113"/>
        <v>818</v>
      </c>
      <c r="O207" s="59">
        <f t="shared" si="113"/>
        <v>824</v>
      </c>
      <c r="P207" s="59">
        <f t="shared" si="113"/>
        <v>832</v>
      </c>
      <c r="Q207" s="59">
        <f t="shared" si="113"/>
        <v>837</v>
      </c>
      <c r="R207" s="59">
        <f t="shared" si="113"/>
        <v>844</v>
      </c>
      <c r="S207" s="59">
        <f t="shared" si="113"/>
        <v>847</v>
      </c>
      <c r="T207" s="59">
        <f t="shared" si="113"/>
        <v>852</v>
      </c>
      <c r="U207" s="59">
        <f t="shared" si="113"/>
        <v>857</v>
      </c>
      <c r="V207" s="59">
        <f t="shared" si="113"/>
        <v>867</v>
      </c>
      <c r="W207" s="59">
        <v>876</v>
      </c>
      <c r="X207" s="59">
        <f t="shared" si="109"/>
        <v>890</v>
      </c>
      <c r="Y207" s="59">
        <f t="shared" si="109"/>
        <v>903</v>
      </c>
      <c r="Z207" s="59">
        <f t="shared" si="109"/>
        <v>920</v>
      </c>
      <c r="AA207" s="59">
        <f t="shared" ref="AA207:AK207" si="115">Z207+AA165</f>
        <v>923</v>
      </c>
      <c r="AB207" s="59">
        <f t="shared" si="115"/>
        <v>923</v>
      </c>
      <c r="AC207" s="59">
        <f t="shared" si="115"/>
        <v>923</v>
      </c>
      <c r="AD207" s="59">
        <f t="shared" si="115"/>
        <v>923</v>
      </c>
      <c r="AE207" s="59">
        <f t="shared" si="115"/>
        <v>923</v>
      </c>
      <c r="AF207" s="59">
        <f t="shared" si="115"/>
        <v>923</v>
      </c>
      <c r="AG207" s="59">
        <f t="shared" si="115"/>
        <v>923</v>
      </c>
      <c r="AH207" s="59">
        <f t="shared" si="115"/>
        <v>923</v>
      </c>
      <c r="AI207" s="59">
        <f t="shared" si="115"/>
        <v>923</v>
      </c>
      <c r="AJ207" s="59">
        <f t="shared" si="115"/>
        <v>923</v>
      </c>
      <c r="AK207" s="59">
        <f t="shared" si="115"/>
        <v>923</v>
      </c>
    </row>
    <row r="208" spans="3:37" x14ac:dyDescent="0.25">
      <c r="C208" s="15" t="s">
        <v>1074</v>
      </c>
      <c r="D208" s="13"/>
      <c r="E208" s="13"/>
      <c r="F208" s="13"/>
      <c r="G208" s="13"/>
      <c r="H208" s="13" t="s">
        <v>1017</v>
      </c>
      <c r="I208" s="62">
        <f t="shared" ref="I208:U208" si="116">SUM(I210:I221,I223:I227)</f>
        <v>11119172</v>
      </c>
      <c r="J208" s="62">
        <f t="shared" si="116"/>
        <v>11359723</v>
      </c>
      <c r="K208" s="62">
        <f t="shared" si="116"/>
        <v>11587423</v>
      </c>
      <c r="L208" s="62">
        <f t="shared" si="116"/>
        <v>11880458</v>
      </c>
      <c r="M208" s="62">
        <f t="shared" si="116"/>
        <v>12207493</v>
      </c>
      <c r="N208" s="62">
        <f t="shared" si="116"/>
        <v>12638905</v>
      </c>
      <c r="O208" s="62">
        <f t="shared" si="116"/>
        <v>12766846</v>
      </c>
      <c r="P208" s="62">
        <f t="shared" si="116"/>
        <v>12999995</v>
      </c>
      <c r="Q208" s="62">
        <f t="shared" si="116"/>
        <v>13124143</v>
      </c>
      <c r="R208" s="62">
        <f t="shared" si="116"/>
        <v>13192627</v>
      </c>
      <c r="S208" s="62">
        <f t="shared" si="116"/>
        <v>13268041</v>
      </c>
      <c r="T208" s="62">
        <f t="shared" si="116"/>
        <v>13313536</v>
      </c>
      <c r="U208" s="62">
        <f t="shared" si="116"/>
        <v>13488712</v>
      </c>
      <c r="V208" s="62">
        <f>SUM(V210:V221,V223:V227)</f>
        <v>13540795</v>
      </c>
      <c r="W208" s="62">
        <f>SUM(W210:W221,W223:W227)</f>
        <v>13593083</v>
      </c>
      <c r="X208" s="62">
        <f t="shared" ref="X208:AK208" si="117">SUM(X210:X221,X223:X227)</f>
        <v>13771237</v>
      </c>
      <c r="Y208" s="62">
        <f t="shared" si="117"/>
        <v>13917826</v>
      </c>
      <c r="Z208" s="62">
        <f t="shared" si="117"/>
        <v>14038162</v>
      </c>
      <c r="AA208" s="62">
        <f t="shared" si="117"/>
        <v>14142968</v>
      </c>
      <c r="AB208" s="62">
        <f t="shared" si="117"/>
        <v>14142968</v>
      </c>
      <c r="AC208" s="62">
        <f t="shared" si="117"/>
        <v>14142968</v>
      </c>
      <c r="AD208" s="62">
        <f t="shared" si="117"/>
        <v>14142968</v>
      </c>
      <c r="AE208" s="62">
        <f t="shared" si="117"/>
        <v>14142968</v>
      </c>
      <c r="AF208" s="62">
        <f t="shared" si="117"/>
        <v>14142968</v>
      </c>
      <c r="AG208" s="62">
        <f t="shared" si="117"/>
        <v>14142968</v>
      </c>
      <c r="AH208" s="62">
        <f t="shared" si="117"/>
        <v>14142968</v>
      </c>
      <c r="AI208" s="62">
        <f t="shared" si="117"/>
        <v>14142968</v>
      </c>
      <c r="AJ208" s="62">
        <f t="shared" si="117"/>
        <v>14142968</v>
      </c>
      <c r="AK208" s="62">
        <f t="shared" si="117"/>
        <v>14142968</v>
      </c>
    </row>
    <row r="209" spans="3:37" x14ac:dyDescent="0.25">
      <c r="C209" s="16"/>
      <c r="D209" s="16" t="s">
        <v>2</v>
      </c>
      <c r="E209" s="16"/>
      <c r="F209" s="16"/>
      <c r="G209" s="16"/>
      <c r="H209" s="16" t="s">
        <v>1017</v>
      </c>
      <c r="I209" s="61">
        <f t="shared" ref="I209:AK209" si="118">SUM(I210:I221)</f>
        <v>8752457</v>
      </c>
      <c r="J209" s="61">
        <f t="shared" si="118"/>
        <v>8979022</v>
      </c>
      <c r="K209" s="61">
        <f t="shared" si="118"/>
        <v>9177618</v>
      </c>
      <c r="L209" s="61">
        <f t="shared" si="118"/>
        <v>9329038</v>
      </c>
      <c r="M209" s="61">
        <f t="shared" si="118"/>
        <v>9608826</v>
      </c>
      <c r="N209" s="61">
        <f t="shared" si="118"/>
        <v>9908457</v>
      </c>
      <c r="O209" s="61">
        <f t="shared" si="118"/>
        <v>10019775</v>
      </c>
      <c r="P209" s="61">
        <f t="shared" si="118"/>
        <v>10237558</v>
      </c>
      <c r="Q209" s="61">
        <f t="shared" si="118"/>
        <v>10336876</v>
      </c>
      <c r="R209" s="61">
        <f t="shared" si="118"/>
        <v>10349948</v>
      </c>
      <c r="S209" s="61">
        <f t="shared" si="118"/>
        <v>10419927</v>
      </c>
      <c r="T209" s="61">
        <f t="shared" si="118"/>
        <v>10441398</v>
      </c>
      <c r="U209" s="61">
        <f t="shared" si="118"/>
        <v>10608338</v>
      </c>
      <c r="V209" s="61">
        <f t="shared" si="118"/>
        <v>10638103</v>
      </c>
      <c r="W209" s="61">
        <f t="shared" si="118"/>
        <v>10691319</v>
      </c>
      <c r="X209" s="61">
        <f t="shared" si="118"/>
        <v>10865068</v>
      </c>
      <c r="Y209" s="61">
        <f t="shared" si="118"/>
        <v>11005602</v>
      </c>
      <c r="Z209" s="61">
        <f t="shared" si="118"/>
        <v>11028589</v>
      </c>
      <c r="AA209" s="61">
        <f t="shared" si="118"/>
        <v>11106471</v>
      </c>
      <c r="AB209" s="61">
        <f t="shared" si="118"/>
        <v>11106471</v>
      </c>
      <c r="AC209" s="61">
        <f t="shared" si="118"/>
        <v>11106471</v>
      </c>
      <c r="AD209" s="61">
        <f t="shared" si="118"/>
        <v>11106471</v>
      </c>
      <c r="AE209" s="61">
        <f t="shared" si="118"/>
        <v>11106471</v>
      </c>
      <c r="AF209" s="61">
        <f t="shared" si="118"/>
        <v>11106471</v>
      </c>
      <c r="AG209" s="61">
        <f t="shared" si="118"/>
        <v>11106471</v>
      </c>
      <c r="AH209" s="61">
        <f t="shared" si="118"/>
        <v>11106471</v>
      </c>
      <c r="AI209" s="61">
        <f t="shared" si="118"/>
        <v>11106471</v>
      </c>
      <c r="AJ209" s="61">
        <f t="shared" si="118"/>
        <v>11106471</v>
      </c>
      <c r="AK209" s="61">
        <f t="shared" si="118"/>
        <v>11106471</v>
      </c>
    </row>
    <row r="210" spans="3:37" x14ac:dyDescent="0.25">
      <c r="E210" t="s">
        <v>256</v>
      </c>
      <c r="H210" t="s">
        <v>1017</v>
      </c>
      <c r="I210" s="59">
        <f t="shared" ref="I210:U221" si="119">J210-J168</f>
        <v>550283</v>
      </c>
      <c r="J210" s="59">
        <f t="shared" si="119"/>
        <v>551379</v>
      </c>
      <c r="K210" s="59">
        <f t="shared" si="119"/>
        <v>551379</v>
      </c>
      <c r="L210" s="59">
        <f t="shared" si="119"/>
        <v>551379</v>
      </c>
      <c r="M210" s="59">
        <f t="shared" si="119"/>
        <v>551419</v>
      </c>
      <c r="N210" s="59">
        <f t="shared" si="119"/>
        <v>551779</v>
      </c>
      <c r="O210" s="59">
        <f t="shared" si="119"/>
        <v>556972</v>
      </c>
      <c r="P210" s="59">
        <f t="shared" si="119"/>
        <v>598709</v>
      </c>
      <c r="Q210" s="59">
        <f t="shared" si="119"/>
        <v>598709</v>
      </c>
      <c r="R210" s="59">
        <f t="shared" si="119"/>
        <v>598709</v>
      </c>
      <c r="S210" s="59">
        <f t="shared" si="119"/>
        <v>598709</v>
      </c>
      <c r="T210" s="59">
        <f t="shared" si="119"/>
        <v>598709</v>
      </c>
      <c r="U210" s="59">
        <f t="shared" si="119"/>
        <v>598034</v>
      </c>
      <c r="V210" s="59">
        <f t="shared" ref="V210:V221" si="120">W210-W168</f>
        <v>598034</v>
      </c>
      <c r="W210" s="59">
        <v>598995</v>
      </c>
      <c r="X210" s="59">
        <f>W210+X168</f>
        <v>598995</v>
      </c>
      <c r="Y210" s="59">
        <f t="shared" ref="Y210:AK210" si="121">X210+Y168</f>
        <v>598995</v>
      </c>
      <c r="Z210" s="59">
        <f t="shared" si="121"/>
        <v>597797</v>
      </c>
      <c r="AA210" s="59">
        <f t="shared" si="121"/>
        <v>597797</v>
      </c>
      <c r="AB210" s="59">
        <f t="shared" si="121"/>
        <v>597797</v>
      </c>
      <c r="AC210" s="59">
        <f t="shared" si="121"/>
        <v>597797</v>
      </c>
      <c r="AD210" s="59">
        <f t="shared" si="121"/>
        <v>597797</v>
      </c>
      <c r="AE210" s="59">
        <f t="shared" si="121"/>
        <v>597797</v>
      </c>
      <c r="AF210" s="59">
        <f t="shared" si="121"/>
        <v>597797</v>
      </c>
      <c r="AG210" s="59">
        <f t="shared" si="121"/>
        <v>597797</v>
      </c>
      <c r="AH210" s="59">
        <f t="shared" si="121"/>
        <v>597797</v>
      </c>
      <c r="AI210" s="59">
        <f t="shared" si="121"/>
        <v>597797</v>
      </c>
      <c r="AJ210" s="59">
        <f t="shared" si="121"/>
        <v>597797</v>
      </c>
      <c r="AK210" s="59">
        <f t="shared" si="121"/>
        <v>597797</v>
      </c>
    </row>
    <row r="211" spans="3:37" x14ac:dyDescent="0.25">
      <c r="E211" t="s">
        <v>116</v>
      </c>
      <c r="H211" t="s">
        <v>1017</v>
      </c>
      <c r="I211" s="59">
        <f t="shared" si="119"/>
        <v>2174262</v>
      </c>
      <c r="J211" s="59">
        <f t="shared" si="119"/>
        <v>2241472</v>
      </c>
      <c r="K211" s="59">
        <f t="shared" si="119"/>
        <v>2293892</v>
      </c>
      <c r="L211" s="59">
        <f t="shared" si="119"/>
        <v>2415335</v>
      </c>
      <c r="M211" s="59">
        <f t="shared" si="119"/>
        <v>2566796</v>
      </c>
      <c r="N211" s="59">
        <f t="shared" si="119"/>
        <v>2776064</v>
      </c>
      <c r="O211" s="59">
        <f t="shared" si="119"/>
        <v>2835224</v>
      </c>
      <c r="P211" s="59">
        <f t="shared" si="119"/>
        <v>2836624</v>
      </c>
      <c r="Q211" s="59">
        <f t="shared" si="119"/>
        <v>2838069</v>
      </c>
      <c r="R211" s="59">
        <f t="shared" si="119"/>
        <v>2842821</v>
      </c>
      <c r="S211" s="59">
        <f t="shared" si="119"/>
        <v>2859774</v>
      </c>
      <c r="T211" s="59">
        <f t="shared" si="119"/>
        <v>2870515</v>
      </c>
      <c r="U211" s="59">
        <f t="shared" si="119"/>
        <v>2927208</v>
      </c>
      <c r="V211" s="59">
        <f t="shared" si="120"/>
        <v>2942039</v>
      </c>
      <c r="W211" s="59">
        <v>2960003</v>
      </c>
      <c r="X211" s="59">
        <f>W211+X169</f>
        <v>3117744</v>
      </c>
      <c r="Y211" s="59">
        <f t="shared" ref="Y211:AK211" si="122">X211+Y169</f>
        <v>3130836</v>
      </c>
      <c r="Z211" s="59">
        <f t="shared" si="122"/>
        <v>3136920</v>
      </c>
      <c r="AA211" s="59">
        <f t="shared" si="122"/>
        <v>3171163</v>
      </c>
      <c r="AB211" s="59">
        <f t="shared" si="122"/>
        <v>3171163</v>
      </c>
      <c r="AC211" s="59">
        <f t="shared" si="122"/>
        <v>3171163</v>
      </c>
      <c r="AD211" s="59">
        <f t="shared" si="122"/>
        <v>3171163</v>
      </c>
      <c r="AE211" s="59">
        <f t="shared" si="122"/>
        <v>3171163</v>
      </c>
      <c r="AF211" s="59">
        <f t="shared" si="122"/>
        <v>3171163</v>
      </c>
      <c r="AG211" s="59">
        <f t="shared" si="122"/>
        <v>3171163</v>
      </c>
      <c r="AH211" s="59">
        <f t="shared" si="122"/>
        <v>3171163</v>
      </c>
      <c r="AI211" s="59">
        <f t="shared" si="122"/>
        <v>3171163</v>
      </c>
      <c r="AJ211" s="59">
        <f t="shared" si="122"/>
        <v>3171163</v>
      </c>
      <c r="AK211" s="59">
        <f t="shared" si="122"/>
        <v>3171163</v>
      </c>
    </row>
    <row r="212" spans="3:37" x14ac:dyDescent="0.25">
      <c r="E212" t="s">
        <v>257</v>
      </c>
      <c r="H212" t="s">
        <v>1017</v>
      </c>
      <c r="I212" s="59">
        <f t="shared" si="119"/>
        <v>241515</v>
      </c>
      <c r="J212" s="59">
        <f t="shared" si="119"/>
        <v>241515</v>
      </c>
      <c r="K212" s="59">
        <f t="shared" si="119"/>
        <v>245289</v>
      </c>
      <c r="L212" s="59">
        <f t="shared" si="119"/>
        <v>245289</v>
      </c>
      <c r="M212" s="59">
        <f t="shared" si="119"/>
        <v>294434</v>
      </c>
      <c r="N212" s="59">
        <f t="shared" si="119"/>
        <v>294434</v>
      </c>
      <c r="O212" s="59">
        <f t="shared" si="119"/>
        <v>299934</v>
      </c>
      <c r="P212" s="59">
        <f t="shared" si="119"/>
        <v>299934</v>
      </c>
      <c r="Q212" s="59">
        <f t="shared" si="119"/>
        <v>300318</v>
      </c>
      <c r="R212" s="59">
        <f t="shared" si="119"/>
        <v>300318</v>
      </c>
      <c r="S212" s="59">
        <f t="shared" si="119"/>
        <v>300318</v>
      </c>
      <c r="T212" s="59">
        <f t="shared" si="119"/>
        <v>300318</v>
      </c>
      <c r="U212" s="59">
        <f t="shared" si="119"/>
        <v>300711</v>
      </c>
      <c r="V212" s="59">
        <f t="shared" si="120"/>
        <v>300711</v>
      </c>
      <c r="W212" s="59">
        <v>301599</v>
      </c>
      <c r="X212" s="59">
        <f t="shared" ref="X212:AK212" si="123">W212+X170</f>
        <v>301749</v>
      </c>
      <c r="Y212" s="59">
        <f t="shared" si="123"/>
        <v>301749</v>
      </c>
      <c r="Z212" s="59">
        <f t="shared" si="123"/>
        <v>303873</v>
      </c>
      <c r="AA212" s="59">
        <f t="shared" si="123"/>
        <v>333418</v>
      </c>
      <c r="AB212" s="59">
        <f t="shared" si="123"/>
        <v>333418</v>
      </c>
      <c r="AC212" s="59">
        <f t="shared" si="123"/>
        <v>333418</v>
      </c>
      <c r="AD212" s="59">
        <f t="shared" si="123"/>
        <v>333418</v>
      </c>
      <c r="AE212" s="59">
        <f t="shared" si="123"/>
        <v>333418</v>
      </c>
      <c r="AF212" s="59">
        <f t="shared" si="123"/>
        <v>333418</v>
      </c>
      <c r="AG212" s="59">
        <f t="shared" si="123"/>
        <v>333418</v>
      </c>
      <c r="AH212" s="59">
        <f t="shared" si="123"/>
        <v>333418</v>
      </c>
      <c r="AI212" s="59">
        <f t="shared" si="123"/>
        <v>333418</v>
      </c>
      <c r="AJ212" s="59">
        <f t="shared" si="123"/>
        <v>333418</v>
      </c>
      <c r="AK212" s="59">
        <f t="shared" si="123"/>
        <v>333418</v>
      </c>
    </row>
    <row r="213" spans="3:37" x14ac:dyDescent="0.25">
      <c r="E213" t="s">
        <v>258</v>
      </c>
      <c r="H213" t="s">
        <v>1017</v>
      </c>
      <c r="I213" s="59">
        <f t="shared" si="119"/>
        <v>1112469</v>
      </c>
      <c r="J213" s="59">
        <f t="shared" si="119"/>
        <v>1148922</v>
      </c>
      <c r="K213" s="59">
        <f t="shared" si="119"/>
        <v>1157687</v>
      </c>
      <c r="L213" s="59">
        <f t="shared" si="119"/>
        <v>1174187</v>
      </c>
      <c r="M213" s="59">
        <f t="shared" si="119"/>
        <v>1211150</v>
      </c>
      <c r="N213" s="59">
        <f t="shared" si="119"/>
        <v>1224613</v>
      </c>
      <c r="O213" s="59">
        <f t="shared" si="119"/>
        <v>1238013</v>
      </c>
      <c r="P213" s="59">
        <f t="shared" si="119"/>
        <v>1285407</v>
      </c>
      <c r="Q213" s="59">
        <f t="shared" si="119"/>
        <v>1285407</v>
      </c>
      <c r="R213" s="59">
        <f t="shared" si="119"/>
        <v>1289493</v>
      </c>
      <c r="S213" s="59">
        <f t="shared" si="119"/>
        <v>1310099</v>
      </c>
      <c r="T213" s="59">
        <f t="shared" si="119"/>
        <v>1310099</v>
      </c>
      <c r="U213" s="59">
        <f t="shared" si="119"/>
        <v>1365559</v>
      </c>
      <c r="V213" s="59">
        <f t="shared" si="120"/>
        <v>1371451</v>
      </c>
      <c r="W213" s="59">
        <v>1379964</v>
      </c>
      <c r="X213" s="59">
        <f t="shared" ref="X213:AK213" si="124">W213+X171</f>
        <v>1380129</v>
      </c>
      <c r="Y213" s="59">
        <f t="shared" si="124"/>
        <v>1380134</v>
      </c>
      <c r="Z213" s="59">
        <f t="shared" si="124"/>
        <v>1389931</v>
      </c>
      <c r="AA213" s="59">
        <f t="shared" si="124"/>
        <v>1389931</v>
      </c>
      <c r="AB213" s="59">
        <f t="shared" si="124"/>
        <v>1389931</v>
      </c>
      <c r="AC213" s="59">
        <f t="shared" si="124"/>
        <v>1389931</v>
      </c>
      <c r="AD213" s="59">
        <f t="shared" si="124"/>
        <v>1389931</v>
      </c>
      <c r="AE213" s="59">
        <f t="shared" si="124"/>
        <v>1389931</v>
      </c>
      <c r="AF213" s="59">
        <f t="shared" si="124"/>
        <v>1389931</v>
      </c>
      <c r="AG213" s="59">
        <f t="shared" si="124"/>
        <v>1389931</v>
      </c>
      <c r="AH213" s="59">
        <f t="shared" si="124"/>
        <v>1389931</v>
      </c>
      <c r="AI213" s="59">
        <f t="shared" si="124"/>
        <v>1389931</v>
      </c>
      <c r="AJ213" s="59">
        <f t="shared" si="124"/>
        <v>1389931</v>
      </c>
      <c r="AK213" s="59">
        <f t="shared" si="124"/>
        <v>1389931</v>
      </c>
    </row>
    <row r="214" spans="3:37" x14ac:dyDescent="0.25">
      <c r="E214" t="s">
        <v>259</v>
      </c>
      <c r="H214" t="s">
        <v>1017</v>
      </c>
      <c r="I214" s="59">
        <f t="shared" si="119"/>
        <v>911621</v>
      </c>
      <c r="J214" s="59">
        <f t="shared" si="119"/>
        <v>995744</v>
      </c>
      <c r="K214" s="59">
        <f t="shared" si="119"/>
        <v>1016820</v>
      </c>
      <c r="L214" s="59">
        <f t="shared" si="119"/>
        <v>1027732</v>
      </c>
      <c r="M214" s="59">
        <f t="shared" si="119"/>
        <v>1069027</v>
      </c>
      <c r="N214" s="59">
        <f t="shared" si="119"/>
        <v>1075025</v>
      </c>
      <c r="O214" s="59">
        <f t="shared" si="119"/>
        <v>1075025</v>
      </c>
      <c r="P214" s="59">
        <f t="shared" si="119"/>
        <v>1075025</v>
      </c>
      <c r="Q214" s="59">
        <f t="shared" si="119"/>
        <v>1083385</v>
      </c>
      <c r="R214" s="59">
        <f t="shared" si="119"/>
        <v>1083385</v>
      </c>
      <c r="S214" s="59">
        <f t="shared" si="119"/>
        <v>1098861</v>
      </c>
      <c r="T214" s="59">
        <f t="shared" si="119"/>
        <v>1109220</v>
      </c>
      <c r="U214" s="59">
        <f t="shared" si="119"/>
        <v>1157288</v>
      </c>
      <c r="V214" s="59">
        <f t="shared" si="120"/>
        <v>1157288</v>
      </c>
      <c r="W214" s="59">
        <v>1167190</v>
      </c>
      <c r="X214" s="59">
        <f t="shared" ref="X214:AK214" si="125">W214+X172</f>
        <v>1177267</v>
      </c>
      <c r="Y214" s="59">
        <f t="shared" si="125"/>
        <v>1183893</v>
      </c>
      <c r="Z214" s="59">
        <f t="shared" si="125"/>
        <v>1185503</v>
      </c>
      <c r="AA214" s="59">
        <f t="shared" si="125"/>
        <v>1193959</v>
      </c>
      <c r="AB214" s="59">
        <f t="shared" si="125"/>
        <v>1193959</v>
      </c>
      <c r="AC214" s="59">
        <f t="shared" si="125"/>
        <v>1193959</v>
      </c>
      <c r="AD214" s="59">
        <f t="shared" si="125"/>
        <v>1193959</v>
      </c>
      <c r="AE214" s="59">
        <f t="shared" si="125"/>
        <v>1193959</v>
      </c>
      <c r="AF214" s="59">
        <f t="shared" si="125"/>
        <v>1193959</v>
      </c>
      <c r="AG214" s="59">
        <f t="shared" si="125"/>
        <v>1193959</v>
      </c>
      <c r="AH214" s="59">
        <f t="shared" si="125"/>
        <v>1193959</v>
      </c>
      <c r="AI214" s="59">
        <f t="shared" si="125"/>
        <v>1193959</v>
      </c>
      <c r="AJ214" s="59">
        <f t="shared" si="125"/>
        <v>1193959</v>
      </c>
      <c r="AK214" s="59">
        <f t="shared" si="125"/>
        <v>1193959</v>
      </c>
    </row>
    <row r="215" spans="3:37" x14ac:dyDescent="0.25">
      <c r="E215" t="s">
        <v>260</v>
      </c>
      <c r="H215" t="s">
        <v>1017</v>
      </c>
      <c r="I215" s="59">
        <f t="shared" si="119"/>
        <v>2500</v>
      </c>
      <c r="J215" s="59">
        <f t="shared" si="119"/>
        <v>2500</v>
      </c>
      <c r="K215" s="59">
        <f t="shared" si="119"/>
        <v>2500</v>
      </c>
      <c r="L215" s="59">
        <f t="shared" si="119"/>
        <v>2500</v>
      </c>
      <c r="M215" s="59">
        <f t="shared" si="119"/>
        <v>2500</v>
      </c>
      <c r="N215" s="59">
        <f t="shared" si="119"/>
        <v>2500</v>
      </c>
      <c r="O215" s="59">
        <f t="shared" si="119"/>
        <v>2500</v>
      </c>
      <c r="P215" s="59">
        <f t="shared" si="119"/>
        <v>2500</v>
      </c>
      <c r="Q215" s="59">
        <f t="shared" si="119"/>
        <v>2500</v>
      </c>
      <c r="R215" s="59">
        <f t="shared" si="119"/>
        <v>2500</v>
      </c>
      <c r="S215" s="59">
        <f t="shared" si="119"/>
        <v>5500</v>
      </c>
      <c r="T215" s="59">
        <f t="shared" si="119"/>
        <v>5500</v>
      </c>
      <c r="U215" s="59">
        <f t="shared" si="119"/>
        <v>5500</v>
      </c>
      <c r="V215" s="59">
        <f t="shared" si="120"/>
        <v>5500</v>
      </c>
      <c r="W215" s="59">
        <v>5500</v>
      </c>
      <c r="X215" s="59">
        <f t="shared" ref="X215:AK215" si="126">W215+X173</f>
        <v>5700</v>
      </c>
      <c r="Y215" s="59">
        <f t="shared" si="126"/>
        <v>5700</v>
      </c>
      <c r="Z215" s="59">
        <f t="shared" si="126"/>
        <v>5700</v>
      </c>
      <c r="AA215" s="59">
        <f t="shared" si="126"/>
        <v>5700</v>
      </c>
      <c r="AB215" s="59">
        <f t="shared" si="126"/>
        <v>5700</v>
      </c>
      <c r="AC215" s="59">
        <f t="shared" si="126"/>
        <v>5700</v>
      </c>
      <c r="AD215" s="59">
        <f t="shared" si="126"/>
        <v>5700</v>
      </c>
      <c r="AE215" s="59">
        <f t="shared" si="126"/>
        <v>5700</v>
      </c>
      <c r="AF215" s="59">
        <f t="shared" si="126"/>
        <v>5700</v>
      </c>
      <c r="AG215" s="59">
        <f t="shared" si="126"/>
        <v>5700</v>
      </c>
      <c r="AH215" s="59">
        <f t="shared" si="126"/>
        <v>5700</v>
      </c>
      <c r="AI215" s="59">
        <f t="shared" si="126"/>
        <v>5700</v>
      </c>
      <c r="AJ215" s="59">
        <f t="shared" si="126"/>
        <v>5700</v>
      </c>
      <c r="AK215" s="59">
        <f t="shared" si="126"/>
        <v>5700</v>
      </c>
    </row>
    <row r="216" spans="3:37" x14ac:dyDescent="0.25">
      <c r="E216" t="s">
        <v>261</v>
      </c>
      <c r="H216" t="s">
        <v>1017</v>
      </c>
      <c r="I216" s="59">
        <f t="shared" si="119"/>
        <v>607212</v>
      </c>
      <c r="J216" s="59">
        <f t="shared" si="119"/>
        <v>624785</v>
      </c>
      <c r="K216" s="59">
        <f t="shared" si="119"/>
        <v>727244</v>
      </c>
      <c r="L216" s="59">
        <f t="shared" si="119"/>
        <v>727516</v>
      </c>
      <c r="M216" s="59">
        <f t="shared" si="119"/>
        <v>728100</v>
      </c>
      <c r="N216" s="59">
        <f t="shared" si="119"/>
        <v>762247</v>
      </c>
      <c r="O216" s="59">
        <f t="shared" si="119"/>
        <v>779164</v>
      </c>
      <c r="P216" s="59">
        <f t="shared" si="119"/>
        <v>801444</v>
      </c>
      <c r="Q216" s="59">
        <f t="shared" si="119"/>
        <v>826445</v>
      </c>
      <c r="R216" s="59">
        <f t="shared" si="119"/>
        <v>826445</v>
      </c>
      <c r="S216" s="59">
        <f t="shared" si="119"/>
        <v>839396</v>
      </c>
      <c r="T216" s="59">
        <f t="shared" si="119"/>
        <v>839396</v>
      </c>
      <c r="U216" s="59">
        <f t="shared" si="119"/>
        <v>839421</v>
      </c>
      <c r="V216" s="59">
        <f t="shared" si="120"/>
        <v>847357</v>
      </c>
      <c r="W216" s="59">
        <v>856197</v>
      </c>
      <c r="X216" s="59">
        <f t="shared" ref="X216:AK216" si="127">W216+X174</f>
        <v>861497</v>
      </c>
      <c r="Y216" s="59">
        <f t="shared" si="127"/>
        <v>951906</v>
      </c>
      <c r="Z216" s="59">
        <f t="shared" si="127"/>
        <v>955787</v>
      </c>
      <c r="AA216" s="59">
        <f t="shared" si="127"/>
        <v>956027</v>
      </c>
      <c r="AB216" s="59">
        <f t="shared" si="127"/>
        <v>956027</v>
      </c>
      <c r="AC216" s="59">
        <f t="shared" si="127"/>
        <v>956027</v>
      </c>
      <c r="AD216" s="59">
        <f t="shared" si="127"/>
        <v>956027</v>
      </c>
      <c r="AE216" s="59">
        <f t="shared" si="127"/>
        <v>956027</v>
      </c>
      <c r="AF216" s="59">
        <f t="shared" si="127"/>
        <v>956027</v>
      </c>
      <c r="AG216" s="59">
        <f t="shared" si="127"/>
        <v>956027</v>
      </c>
      <c r="AH216" s="59">
        <f t="shared" si="127"/>
        <v>956027</v>
      </c>
      <c r="AI216" s="59">
        <f t="shared" si="127"/>
        <v>956027</v>
      </c>
      <c r="AJ216" s="59">
        <f t="shared" si="127"/>
        <v>956027</v>
      </c>
      <c r="AK216" s="59">
        <f t="shared" si="127"/>
        <v>956027</v>
      </c>
    </row>
    <row r="217" spans="3:37" x14ac:dyDescent="0.25">
      <c r="E217" t="s">
        <v>262</v>
      </c>
      <c r="H217" t="s">
        <v>1017</v>
      </c>
      <c r="I217" s="59">
        <f t="shared" si="119"/>
        <v>4528</v>
      </c>
      <c r="J217" s="59">
        <f t="shared" si="119"/>
        <v>11683</v>
      </c>
      <c r="K217" s="59">
        <f t="shared" si="119"/>
        <v>11683</v>
      </c>
      <c r="L217" s="59">
        <f t="shared" si="119"/>
        <v>11683</v>
      </c>
      <c r="M217" s="59">
        <f t="shared" si="119"/>
        <v>11683</v>
      </c>
      <c r="N217" s="59">
        <f t="shared" si="119"/>
        <v>11683</v>
      </c>
      <c r="O217" s="59">
        <f t="shared" si="119"/>
        <v>11683</v>
      </c>
      <c r="P217" s="59">
        <f t="shared" si="119"/>
        <v>11683</v>
      </c>
      <c r="Q217" s="59">
        <f t="shared" si="119"/>
        <v>11683</v>
      </c>
      <c r="R217" s="59">
        <f t="shared" si="119"/>
        <v>11683</v>
      </c>
      <c r="S217" s="59">
        <f t="shared" si="119"/>
        <v>11683</v>
      </c>
      <c r="T217" s="59">
        <f t="shared" si="119"/>
        <v>11683</v>
      </c>
      <c r="U217" s="59">
        <f t="shared" si="119"/>
        <v>11683</v>
      </c>
      <c r="V217" s="59">
        <f t="shared" si="120"/>
        <v>11899</v>
      </c>
      <c r="W217" s="59">
        <v>12350</v>
      </c>
      <c r="X217" s="59">
        <f t="shared" ref="X217:AK217" si="128">W217+X175</f>
        <v>12350</v>
      </c>
      <c r="Y217" s="59">
        <f t="shared" si="128"/>
        <v>12350</v>
      </c>
      <c r="Z217" s="59">
        <f t="shared" si="128"/>
        <v>12350</v>
      </c>
      <c r="AA217" s="59">
        <f t="shared" si="128"/>
        <v>12954</v>
      </c>
      <c r="AB217" s="59">
        <f t="shared" si="128"/>
        <v>12954</v>
      </c>
      <c r="AC217" s="59">
        <f t="shared" si="128"/>
        <v>12954</v>
      </c>
      <c r="AD217" s="59">
        <f t="shared" si="128"/>
        <v>12954</v>
      </c>
      <c r="AE217" s="59">
        <f t="shared" si="128"/>
        <v>12954</v>
      </c>
      <c r="AF217" s="59">
        <f t="shared" si="128"/>
        <v>12954</v>
      </c>
      <c r="AG217" s="59">
        <f t="shared" si="128"/>
        <v>12954</v>
      </c>
      <c r="AH217" s="59">
        <f t="shared" si="128"/>
        <v>12954</v>
      </c>
      <c r="AI217" s="59">
        <f t="shared" si="128"/>
        <v>12954</v>
      </c>
      <c r="AJ217" s="59">
        <f t="shared" si="128"/>
        <v>12954</v>
      </c>
      <c r="AK217" s="59">
        <f t="shared" si="128"/>
        <v>12954</v>
      </c>
    </row>
    <row r="218" spans="3:37" x14ac:dyDescent="0.25">
      <c r="E218" t="s">
        <v>263</v>
      </c>
      <c r="H218" t="s">
        <v>1017</v>
      </c>
      <c r="I218" s="59">
        <f t="shared" si="119"/>
        <v>122156</v>
      </c>
      <c r="J218" s="59">
        <f t="shared" si="119"/>
        <v>122156</v>
      </c>
      <c r="K218" s="59">
        <f t="shared" si="119"/>
        <v>122656</v>
      </c>
      <c r="L218" s="59">
        <f t="shared" si="119"/>
        <v>122656</v>
      </c>
      <c r="M218" s="59">
        <f t="shared" si="119"/>
        <v>122656</v>
      </c>
      <c r="N218" s="59">
        <f t="shared" si="119"/>
        <v>128493</v>
      </c>
      <c r="O218" s="59">
        <f t="shared" si="119"/>
        <v>128493</v>
      </c>
      <c r="P218" s="59">
        <f t="shared" si="119"/>
        <v>128993</v>
      </c>
      <c r="Q218" s="59">
        <f t="shared" si="119"/>
        <v>140800</v>
      </c>
      <c r="R218" s="59">
        <f t="shared" si="119"/>
        <v>141040</v>
      </c>
      <c r="S218" s="59">
        <f t="shared" si="119"/>
        <v>141040</v>
      </c>
      <c r="T218" s="59">
        <f t="shared" si="119"/>
        <v>141040</v>
      </c>
      <c r="U218" s="59">
        <f t="shared" si="119"/>
        <v>141640</v>
      </c>
      <c r="V218" s="59">
        <f t="shared" si="120"/>
        <v>142240</v>
      </c>
      <c r="W218" s="59">
        <v>142240</v>
      </c>
      <c r="X218" s="59">
        <f t="shared" ref="X218:AK218" si="129">W218+X176</f>
        <v>142240</v>
      </c>
      <c r="Y218" s="59">
        <f t="shared" si="129"/>
        <v>142240</v>
      </c>
      <c r="Z218" s="59">
        <f t="shared" si="129"/>
        <v>142240</v>
      </c>
      <c r="AA218" s="59">
        <f t="shared" si="129"/>
        <v>146188</v>
      </c>
      <c r="AB218" s="59">
        <f t="shared" si="129"/>
        <v>146188</v>
      </c>
      <c r="AC218" s="59">
        <f t="shared" si="129"/>
        <v>146188</v>
      </c>
      <c r="AD218" s="59">
        <f t="shared" si="129"/>
        <v>146188</v>
      </c>
      <c r="AE218" s="59">
        <f t="shared" si="129"/>
        <v>146188</v>
      </c>
      <c r="AF218" s="59">
        <f t="shared" si="129"/>
        <v>146188</v>
      </c>
      <c r="AG218" s="59">
        <f t="shared" si="129"/>
        <v>146188</v>
      </c>
      <c r="AH218" s="59">
        <f t="shared" si="129"/>
        <v>146188</v>
      </c>
      <c r="AI218" s="59">
        <f t="shared" si="129"/>
        <v>146188</v>
      </c>
      <c r="AJ218" s="59">
        <f t="shared" si="129"/>
        <v>146188</v>
      </c>
      <c r="AK218" s="59">
        <f t="shared" si="129"/>
        <v>146188</v>
      </c>
    </row>
    <row r="219" spans="3:37" x14ac:dyDescent="0.25">
      <c r="E219" t="s">
        <v>264</v>
      </c>
      <c r="H219" t="s">
        <v>1017</v>
      </c>
      <c r="I219" s="59">
        <f t="shared" si="119"/>
        <v>1053368</v>
      </c>
      <c r="J219" s="59">
        <f t="shared" si="119"/>
        <v>1054018</v>
      </c>
      <c r="K219" s="59">
        <f t="shared" si="119"/>
        <v>1054464</v>
      </c>
      <c r="L219" s="59">
        <f t="shared" si="119"/>
        <v>1055356</v>
      </c>
      <c r="M219" s="59">
        <f t="shared" si="119"/>
        <v>1055356</v>
      </c>
      <c r="N219" s="59">
        <f t="shared" si="119"/>
        <v>1055427</v>
      </c>
      <c r="O219" s="59">
        <f t="shared" si="119"/>
        <v>1055427</v>
      </c>
      <c r="P219" s="59">
        <f t="shared" si="119"/>
        <v>1059616</v>
      </c>
      <c r="Q219" s="59">
        <f t="shared" si="119"/>
        <v>1059616</v>
      </c>
      <c r="R219" s="59">
        <f t="shared" si="119"/>
        <v>1059616</v>
      </c>
      <c r="S219" s="59">
        <f t="shared" si="119"/>
        <v>1059616</v>
      </c>
      <c r="T219" s="59">
        <f t="shared" si="119"/>
        <v>1059987</v>
      </c>
      <c r="U219" s="59">
        <f t="shared" si="119"/>
        <v>1059987</v>
      </c>
      <c r="V219" s="59">
        <f t="shared" si="120"/>
        <v>1059987</v>
      </c>
      <c r="W219" s="59">
        <v>1060282</v>
      </c>
      <c r="X219" s="59">
        <f t="shared" ref="X219:AK219" si="130">W219+X177</f>
        <v>1060282</v>
      </c>
      <c r="Y219" s="59">
        <f t="shared" si="130"/>
        <v>1060602</v>
      </c>
      <c r="Z219" s="59">
        <f t="shared" si="130"/>
        <v>1060602</v>
      </c>
      <c r="AA219" s="59">
        <f t="shared" si="130"/>
        <v>1060752</v>
      </c>
      <c r="AB219" s="59">
        <f t="shared" si="130"/>
        <v>1060752</v>
      </c>
      <c r="AC219" s="59">
        <f t="shared" si="130"/>
        <v>1060752</v>
      </c>
      <c r="AD219" s="59">
        <f t="shared" si="130"/>
        <v>1060752</v>
      </c>
      <c r="AE219" s="59">
        <f t="shared" si="130"/>
        <v>1060752</v>
      </c>
      <c r="AF219" s="59">
        <f t="shared" si="130"/>
        <v>1060752</v>
      </c>
      <c r="AG219" s="59">
        <f t="shared" si="130"/>
        <v>1060752</v>
      </c>
      <c r="AH219" s="59">
        <f t="shared" si="130"/>
        <v>1060752</v>
      </c>
      <c r="AI219" s="59">
        <f t="shared" si="130"/>
        <v>1060752</v>
      </c>
      <c r="AJ219" s="59">
        <f t="shared" si="130"/>
        <v>1060752</v>
      </c>
      <c r="AK219" s="59">
        <f t="shared" si="130"/>
        <v>1060752</v>
      </c>
    </row>
    <row r="220" spans="3:37" x14ac:dyDescent="0.25">
      <c r="E220" t="s">
        <v>265</v>
      </c>
      <c r="H220" t="s">
        <v>1017</v>
      </c>
      <c r="I220" s="59">
        <f t="shared" si="119"/>
        <v>1890603</v>
      </c>
      <c r="J220" s="59">
        <f t="shared" si="119"/>
        <v>1902860</v>
      </c>
      <c r="K220" s="59">
        <f t="shared" si="119"/>
        <v>1902860</v>
      </c>
      <c r="L220" s="59">
        <f t="shared" si="119"/>
        <v>1904261</v>
      </c>
      <c r="M220" s="59">
        <f t="shared" si="119"/>
        <v>1904261</v>
      </c>
      <c r="N220" s="59">
        <f t="shared" si="119"/>
        <v>1934748</v>
      </c>
      <c r="O220" s="59">
        <f t="shared" si="119"/>
        <v>1945896</v>
      </c>
      <c r="P220" s="59">
        <f t="shared" si="119"/>
        <v>2043549</v>
      </c>
      <c r="Q220" s="59">
        <f t="shared" si="119"/>
        <v>2095870</v>
      </c>
      <c r="R220" s="59">
        <f t="shared" si="119"/>
        <v>2099864</v>
      </c>
      <c r="S220" s="59">
        <f t="shared" si="119"/>
        <v>2100857</v>
      </c>
      <c r="T220" s="59">
        <f t="shared" si="119"/>
        <v>2100857</v>
      </c>
      <c r="U220" s="59">
        <f t="shared" si="119"/>
        <v>2107038</v>
      </c>
      <c r="V220" s="59">
        <f t="shared" si="120"/>
        <v>2107328</v>
      </c>
      <c r="W220" s="59">
        <v>2112730</v>
      </c>
      <c r="X220" s="59">
        <f t="shared" ref="X220:AK220" si="131">W220+X178</f>
        <v>2112846</v>
      </c>
      <c r="Y220" s="59">
        <f t="shared" si="131"/>
        <v>2142928</v>
      </c>
      <c r="Z220" s="59">
        <f t="shared" si="131"/>
        <v>2143617</v>
      </c>
      <c r="AA220" s="59">
        <f t="shared" si="131"/>
        <v>2143617</v>
      </c>
      <c r="AB220" s="59">
        <f t="shared" si="131"/>
        <v>2143617</v>
      </c>
      <c r="AC220" s="59">
        <f t="shared" si="131"/>
        <v>2143617</v>
      </c>
      <c r="AD220" s="59">
        <f t="shared" si="131"/>
        <v>2143617</v>
      </c>
      <c r="AE220" s="59">
        <f t="shared" si="131"/>
        <v>2143617</v>
      </c>
      <c r="AF220" s="59">
        <f t="shared" si="131"/>
        <v>2143617</v>
      </c>
      <c r="AG220" s="59">
        <f t="shared" si="131"/>
        <v>2143617</v>
      </c>
      <c r="AH220" s="59">
        <f t="shared" si="131"/>
        <v>2143617</v>
      </c>
      <c r="AI220" s="59">
        <f t="shared" si="131"/>
        <v>2143617</v>
      </c>
      <c r="AJ220" s="59">
        <f t="shared" si="131"/>
        <v>2143617</v>
      </c>
      <c r="AK220" s="59">
        <f t="shared" si="131"/>
        <v>2143617</v>
      </c>
    </row>
    <row r="221" spans="3:37" x14ac:dyDescent="0.25">
      <c r="E221" t="s">
        <v>271</v>
      </c>
      <c r="H221" t="s">
        <v>1017</v>
      </c>
      <c r="I221" s="59">
        <f t="shared" si="119"/>
        <v>81940</v>
      </c>
      <c r="J221" s="59">
        <f t="shared" si="119"/>
        <v>81988</v>
      </c>
      <c r="K221" s="59">
        <f t="shared" si="119"/>
        <v>91144</v>
      </c>
      <c r="L221" s="59">
        <f t="shared" si="119"/>
        <v>91144</v>
      </c>
      <c r="M221" s="59">
        <f t="shared" si="119"/>
        <v>91444</v>
      </c>
      <c r="N221" s="59">
        <f t="shared" si="119"/>
        <v>91444</v>
      </c>
      <c r="O221" s="59">
        <f t="shared" si="119"/>
        <v>91444</v>
      </c>
      <c r="P221" s="59">
        <f t="shared" si="119"/>
        <v>94074</v>
      </c>
      <c r="Q221" s="59">
        <f t="shared" si="119"/>
        <v>94074</v>
      </c>
      <c r="R221" s="59">
        <f t="shared" si="119"/>
        <v>94074</v>
      </c>
      <c r="S221" s="59">
        <f t="shared" si="119"/>
        <v>94074</v>
      </c>
      <c r="T221" s="59">
        <f t="shared" si="119"/>
        <v>94074</v>
      </c>
      <c r="U221" s="59">
        <f t="shared" si="119"/>
        <v>94269</v>
      </c>
      <c r="V221" s="59">
        <f t="shared" si="120"/>
        <v>94269</v>
      </c>
      <c r="W221" s="59">
        <v>94269</v>
      </c>
      <c r="X221" s="59">
        <f t="shared" ref="X221:AK221" si="132">W221+X179</f>
        <v>94269</v>
      </c>
      <c r="Y221" s="59">
        <f t="shared" si="132"/>
        <v>94269</v>
      </c>
      <c r="Z221" s="59">
        <f t="shared" si="132"/>
        <v>94269</v>
      </c>
      <c r="AA221" s="59">
        <f t="shared" si="132"/>
        <v>94965</v>
      </c>
      <c r="AB221" s="59">
        <f t="shared" si="132"/>
        <v>94965</v>
      </c>
      <c r="AC221" s="59">
        <f t="shared" si="132"/>
        <v>94965</v>
      </c>
      <c r="AD221" s="59">
        <f t="shared" si="132"/>
        <v>94965</v>
      </c>
      <c r="AE221" s="59">
        <f t="shared" si="132"/>
        <v>94965</v>
      </c>
      <c r="AF221" s="59">
        <f t="shared" si="132"/>
        <v>94965</v>
      </c>
      <c r="AG221" s="59">
        <f t="shared" si="132"/>
        <v>94965</v>
      </c>
      <c r="AH221" s="59">
        <f t="shared" si="132"/>
        <v>94965</v>
      </c>
      <c r="AI221" s="59">
        <f t="shared" si="132"/>
        <v>94965</v>
      </c>
      <c r="AJ221" s="59">
        <f t="shared" si="132"/>
        <v>94965</v>
      </c>
      <c r="AK221" s="59">
        <f t="shared" si="132"/>
        <v>94965</v>
      </c>
    </row>
    <row r="222" spans="3:37" x14ac:dyDescent="0.25">
      <c r="C222" s="16"/>
      <c r="D222" s="16" t="s">
        <v>3</v>
      </c>
      <c r="E222" s="16"/>
      <c r="F222" s="16"/>
      <c r="G222" s="16"/>
      <c r="H222" s="16" t="s">
        <v>1017</v>
      </c>
      <c r="I222" s="61">
        <f t="shared" ref="I222:AK222" si="133">SUM(I223:I227)</f>
        <v>2366715</v>
      </c>
      <c r="J222" s="61">
        <f t="shared" si="133"/>
        <v>2380701</v>
      </c>
      <c r="K222" s="61">
        <f t="shared" si="133"/>
        <v>2409805</v>
      </c>
      <c r="L222" s="61">
        <f t="shared" si="133"/>
        <v>2551420</v>
      </c>
      <c r="M222" s="61">
        <f t="shared" si="133"/>
        <v>2598667</v>
      </c>
      <c r="N222" s="61">
        <f t="shared" si="133"/>
        <v>2730448</v>
      </c>
      <c r="O222" s="61">
        <f t="shared" si="133"/>
        <v>2747071</v>
      </c>
      <c r="P222" s="61">
        <f t="shared" si="133"/>
        <v>2762437</v>
      </c>
      <c r="Q222" s="61">
        <f t="shared" si="133"/>
        <v>2787267</v>
      </c>
      <c r="R222" s="61">
        <f t="shared" si="133"/>
        <v>2842679</v>
      </c>
      <c r="S222" s="61">
        <f t="shared" si="133"/>
        <v>2848114</v>
      </c>
      <c r="T222" s="61">
        <f t="shared" si="133"/>
        <v>2872138</v>
      </c>
      <c r="U222" s="61">
        <f t="shared" si="133"/>
        <v>2880374</v>
      </c>
      <c r="V222" s="61">
        <f t="shared" si="133"/>
        <v>2902692</v>
      </c>
      <c r="W222" s="61">
        <f t="shared" si="133"/>
        <v>2901764</v>
      </c>
      <c r="X222" s="61">
        <f t="shared" si="133"/>
        <v>2906169</v>
      </c>
      <c r="Y222" s="61">
        <f t="shared" si="133"/>
        <v>2912224</v>
      </c>
      <c r="Z222" s="61">
        <f t="shared" si="133"/>
        <v>3009573</v>
      </c>
      <c r="AA222" s="61">
        <f t="shared" si="133"/>
        <v>3036497</v>
      </c>
      <c r="AB222" s="61">
        <f t="shared" si="133"/>
        <v>3036497</v>
      </c>
      <c r="AC222" s="61">
        <f t="shared" si="133"/>
        <v>3036497</v>
      </c>
      <c r="AD222" s="61">
        <f t="shared" si="133"/>
        <v>3036497</v>
      </c>
      <c r="AE222" s="61">
        <f t="shared" si="133"/>
        <v>3036497</v>
      </c>
      <c r="AF222" s="61">
        <f t="shared" si="133"/>
        <v>3036497</v>
      </c>
      <c r="AG222" s="61">
        <f t="shared" si="133"/>
        <v>3036497</v>
      </c>
      <c r="AH222" s="61">
        <f t="shared" si="133"/>
        <v>3036497</v>
      </c>
      <c r="AI222" s="61">
        <f t="shared" si="133"/>
        <v>3036497</v>
      </c>
      <c r="AJ222" s="61">
        <f t="shared" si="133"/>
        <v>3036497</v>
      </c>
      <c r="AK222" s="61">
        <f t="shared" si="133"/>
        <v>3036497</v>
      </c>
    </row>
    <row r="223" spans="3:37" x14ac:dyDescent="0.25">
      <c r="E223" t="s">
        <v>269</v>
      </c>
      <c r="H223" t="s">
        <v>1017</v>
      </c>
      <c r="I223" s="59">
        <f t="shared" ref="I223:U227" si="134">J223-J181</f>
        <v>346816</v>
      </c>
      <c r="J223" s="59">
        <f t="shared" si="134"/>
        <v>348316</v>
      </c>
      <c r="K223" s="59">
        <f t="shared" si="134"/>
        <v>348316</v>
      </c>
      <c r="L223" s="59">
        <f t="shared" si="134"/>
        <v>350176</v>
      </c>
      <c r="M223" s="59">
        <f t="shared" si="134"/>
        <v>351478</v>
      </c>
      <c r="N223" s="59">
        <f t="shared" si="134"/>
        <v>358631</v>
      </c>
      <c r="O223" s="59">
        <f t="shared" si="134"/>
        <v>364015</v>
      </c>
      <c r="P223" s="59">
        <f t="shared" si="134"/>
        <v>364819</v>
      </c>
      <c r="Q223" s="59">
        <f t="shared" si="134"/>
        <v>365955</v>
      </c>
      <c r="R223" s="59">
        <f t="shared" si="134"/>
        <v>365955</v>
      </c>
      <c r="S223" s="59">
        <f t="shared" si="134"/>
        <v>365955</v>
      </c>
      <c r="T223" s="59">
        <f t="shared" si="134"/>
        <v>389310</v>
      </c>
      <c r="U223" s="59">
        <f t="shared" si="134"/>
        <v>391312</v>
      </c>
      <c r="V223" s="59">
        <f>W223-W181</f>
        <v>388956</v>
      </c>
      <c r="W223" s="59">
        <v>389112</v>
      </c>
      <c r="X223" s="59">
        <f t="shared" ref="X223:AK223" si="135">W223+X181</f>
        <v>393225</v>
      </c>
      <c r="Y223" s="59">
        <f t="shared" si="135"/>
        <v>393225</v>
      </c>
      <c r="Z223" s="59">
        <f t="shared" si="135"/>
        <v>406868</v>
      </c>
      <c r="AA223" s="59">
        <f t="shared" si="135"/>
        <v>418224</v>
      </c>
      <c r="AB223" s="59">
        <f t="shared" si="135"/>
        <v>418224</v>
      </c>
      <c r="AC223" s="59">
        <f t="shared" si="135"/>
        <v>418224</v>
      </c>
      <c r="AD223" s="59">
        <f t="shared" si="135"/>
        <v>418224</v>
      </c>
      <c r="AE223" s="59">
        <f t="shared" si="135"/>
        <v>418224</v>
      </c>
      <c r="AF223" s="59">
        <f t="shared" si="135"/>
        <v>418224</v>
      </c>
      <c r="AG223" s="59">
        <f t="shared" si="135"/>
        <v>418224</v>
      </c>
      <c r="AH223" s="59">
        <f t="shared" si="135"/>
        <v>418224</v>
      </c>
      <c r="AI223" s="59">
        <f t="shared" si="135"/>
        <v>418224</v>
      </c>
      <c r="AJ223" s="59">
        <f t="shared" si="135"/>
        <v>418224</v>
      </c>
      <c r="AK223" s="59">
        <f t="shared" si="135"/>
        <v>418224</v>
      </c>
    </row>
    <row r="224" spans="3:37" x14ac:dyDescent="0.25">
      <c r="E224" t="s">
        <v>266</v>
      </c>
      <c r="H224" t="s">
        <v>1017</v>
      </c>
      <c r="I224" s="59">
        <f t="shared" si="134"/>
        <v>1168274</v>
      </c>
      <c r="J224" s="59">
        <f t="shared" si="134"/>
        <v>1179760</v>
      </c>
      <c r="K224" s="59">
        <f t="shared" si="134"/>
        <v>1194895</v>
      </c>
      <c r="L224" s="59">
        <f t="shared" si="134"/>
        <v>1333180</v>
      </c>
      <c r="M224" s="59">
        <f t="shared" si="134"/>
        <v>1372629</v>
      </c>
      <c r="N224" s="59">
        <f t="shared" si="134"/>
        <v>1484620</v>
      </c>
      <c r="O224" s="59">
        <f t="shared" si="134"/>
        <v>1493279</v>
      </c>
      <c r="P224" s="59">
        <f t="shared" si="134"/>
        <v>1507841</v>
      </c>
      <c r="Q224" s="59">
        <f t="shared" si="134"/>
        <v>1518175</v>
      </c>
      <c r="R224" s="59">
        <f t="shared" si="134"/>
        <v>1571175</v>
      </c>
      <c r="S224" s="59">
        <f t="shared" si="134"/>
        <v>1574264</v>
      </c>
      <c r="T224" s="59">
        <f t="shared" si="134"/>
        <v>1574264</v>
      </c>
      <c r="U224" s="59">
        <f t="shared" si="134"/>
        <v>1579698</v>
      </c>
      <c r="V224" s="59">
        <f>W224-W182</f>
        <v>1601994</v>
      </c>
      <c r="W224" s="59">
        <v>1600910</v>
      </c>
      <c r="X224" s="59">
        <f t="shared" ref="X224:AK224" si="136">W224+X182</f>
        <v>1601202</v>
      </c>
      <c r="Y224" s="59">
        <f t="shared" si="136"/>
        <v>1607257</v>
      </c>
      <c r="Z224" s="59">
        <f t="shared" si="136"/>
        <v>1671181</v>
      </c>
      <c r="AA224" s="59">
        <f t="shared" si="136"/>
        <v>1676873</v>
      </c>
      <c r="AB224" s="59">
        <f t="shared" si="136"/>
        <v>1676873</v>
      </c>
      <c r="AC224" s="59">
        <f t="shared" si="136"/>
        <v>1676873</v>
      </c>
      <c r="AD224" s="59">
        <f t="shared" si="136"/>
        <v>1676873</v>
      </c>
      <c r="AE224" s="59">
        <f t="shared" si="136"/>
        <v>1676873</v>
      </c>
      <c r="AF224" s="59">
        <f t="shared" si="136"/>
        <v>1676873</v>
      </c>
      <c r="AG224" s="59">
        <f t="shared" si="136"/>
        <v>1676873</v>
      </c>
      <c r="AH224" s="59">
        <f t="shared" si="136"/>
        <v>1676873</v>
      </c>
      <c r="AI224" s="59">
        <f t="shared" si="136"/>
        <v>1676873</v>
      </c>
      <c r="AJ224" s="59">
        <f t="shared" si="136"/>
        <v>1676873</v>
      </c>
      <c r="AK224" s="59">
        <f t="shared" si="136"/>
        <v>1676873</v>
      </c>
    </row>
    <row r="225" spans="1:37" x14ac:dyDescent="0.25">
      <c r="E225" t="s">
        <v>267</v>
      </c>
      <c r="H225" t="s">
        <v>1017</v>
      </c>
      <c r="I225" s="59">
        <f t="shared" si="134"/>
        <v>72600</v>
      </c>
      <c r="J225" s="59">
        <f t="shared" si="134"/>
        <v>72600</v>
      </c>
      <c r="K225" s="59">
        <f t="shared" si="134"/>
        <v>72600</v>
      </c>
      <c r="L225" s="59">
        <f t="shared" si="134"/>
        <v>72600</v>
      </c>
      <c r="M225" s="59">
        <f t="shared" si="134"/>
        <v>72600</v>
      </c>
      <c r="N225" s="59">
        <f t="shared" si="134"/>
        <v>72600</v>
      </c>
      <c r="O225" s="59">
        <f t="shared" si="134"/>
        <v>72600</v>
      </c>
      <c r="P225" s="59">
        <f t="shared" si="134"/>
        <v>72600</v>
      </c>
      <c r="Q225" s="59">
        <f t="shared" si="134"/>
        <v>84560</v>
      </c>
      <c r="R225" s="59">
        <f t="shared" si="134"/>
        <v>84560</v>
      </c>
      <c r="S225" s="59">
        <f t="shared" si="134"/>
        <v>84560</v>
      </c>
      <c r="T225" s="59">
        <f t="shared" si="134"/>
        <v>85229</v>
      </c>
      <c r="U225" s="59">
        <f t="shared" si="134"/>
        <v>85229</v>
      </c>
      <c r="V225" s="59">
        <f>W225-W183</f>
        <v>85229</v>
      </c>
      <c r="W225" s="59">
        <v>85229</v>
      </c>
      <c r="X225" s="59">
        <f t="shared" ref="X225:AK225" si="137">W225+X183</f>
        <v>85229</v>
      </c>
      <c r="Y225" s="59">
        <f t="shared" si="137"/>
        <v>85229</v>
      </c>
      <c r="Z225" s="59">
        <f t="shared" si="137"/>
        <v>105011</v>
      </c>
      <c r="AA225" s="59">
        <f t="shared" si="137"/>
        <v>114887</v>
      </c>
      <c r="AB225" s="59">
        <f t="shared" si="137"/>
        <v>114887</v>
      </c>
      <c r="AC225" s="59">
        <f t="shared" si="137"/>
        <v>114887</v>
      </c>
      <c r="AD225" s="59">
        <f t="shared" si="137"/>
        <v>114887</v>
      </c>
      <c r="AE225" s="59">
        <f t="shared" si="137"/>
        <v>114887</v>
      </c>
      <c r="AF225" s="59">
        <f t="shared" si="137"/>
        <v>114887</v>
      </c>
      <c r="AG225" s="59">
        <f t="shared" si="137"/>
        <v>114887</v>
      </c>
      <c r="AH225" s="59">
        <f t="shared" si="137"/>
        <v>114887</v>
      </c>
      <c r="AI225" s="59">
        <f t="shared" si="137"/>
        <v>114887</v>
      </c>
      <c r="AJ225" s="59">
        <f t="shared" si="137"/>
        <v>114887</v>
      </c>
      <c r="AK225" s="59">
        <f t="shared" si="137"/>
        <v>114887</v>
      </c>
    </row>
    <row r="226" spans="1:37" x14ac:dyDescent="0.25">
      <c r="E226" t="s">
        <v>270</v>
      </c>
      <c r="H226" t="s">
        <v>1017</v>
      </c>
      <c r="I226" s="59">
        <f t="shared" si="134"/>
        <v>231189</v>
      </c>
      <c r="J226" s="59">
        <f t="shared" si="134"/>
        <v>231189</v>
      </c>
      <c r="K226" s="59">
        <f t="shared" si="134"/>
        <v>231558</v>
      </c>
      <c r="L226" s="59">
        <f t="shared" si="134"/>
        <v>231558</v>
      </c>
      <c r="M226" s="59">
        <f t="shared" si="134"/>
        <v>231558</v>
      </c>
      <c r="N226" s="59">
        <f t="shared" si="134"/>
        <v>231558</v>
      </c>
      <c r="O226" s="59">
        <f t="shared" si="134"/>
        <v>233658</v>
      </c>
      <c r="P226" s="59">
        <f t="shared" si="134"/>
        <v>233658</v>
      </c>
      <c r="Q226" s="59">
        <f t="shared" si="134"/>
        <v>233658</v>
      </c>
      <c r="R226" s="59">
        <f t="shared" si="134"/>
        <v>234666</v>
      </c>
      <c r="S226" s="59">
        <f t="shared" si="134"/>
        <v>234666</v>
      </c>
      <c r="T226" s="59">
        <f t="shared" si="134"/>
        <v>234666</v>
      </c>
      <c r="U226" s="59">
        <f t="shared" si="134"/>
        <v>234666</v>
      </c>
      <c r="V226" s="59">
        <f>W226-W184</f>
        <v>234666</v>
      </c>
      <c r="W226" s="59">
        <v>234666</v>
      </c>
      <c r="X226" s="59">
        <f t="shared" ref="X226:AK226" si="138">W226+X184</f>
        <v>234666</v>
      </c>
      <c r="Y226" s="59">
        <f t="shared" si="138"/>
        <v>234666</v>
      </c>
      <c r="Z226" s="59">
        <f t="shared" si="138"/>
        <v>234666</v>
      </c>
      <c r="AA226" s="59">
        <f t="shared" si="138"/>
        <v>234666</v>
      </c>
      <c r="AB226" s="59">
        <f t="shared" si="138"/>
        <v>234666</v>
      </c>
      <c r="AC226" s="59">
        <f t="shared" si="138"/>
        <v>234666</v>
      </c>
      <c r="AD226" s="59">
        <f t="shared" si="138"/>
        <v>234666</v>
      </c>
      <c r="AE226" s="59">
        <f t="shared" si="138"/>
        <v>234666</v>
      </c>
      <c r="AF226" s="59">
        <f t="shared" si="138"/>
        <v>234666</v>
      </c>
      <c r="AG226" s="59">
        <f t="shared" si="138"/>
        <v>234666</v>
      </c>
      <c r="AH226" s="59">
        <f t="shared" si="138"/>
        <v>234666</v>
      </c>
      <c r="AI226" s="59">
        <f t="shared" si="138"/>
        <v>234666</v>
      </c>
      <c r="AJ226" s="59">
        <f t="shared" si="138"/>
        <v>234666</v>
      </c>
      <c r="AK226" s="59">
        <f t="shared" si="138"/>
        <v>234666</v>
      </c>
    </row>
    <row r="227" spans="1:37" x14ac:dyDescent="0.25">
      <c r="E227" t="s">
        <v>268</v>
      </c>
      <c r="H227" t="s">
        <v>1017</v>
      </c>
      <c r="I227" s="59">
        <f t="shared" si="134"/>
        <v>547836</v>
      </c>
      <c r="J227" s="59">
        <f t="shared" si="134"/>
        <v>548836</v>
      </c>
      <c r="K227" s="59">
        <f t="shared" si="134"/>
        <v>562436</v>
      </c>
      <c r="L227" s="59">
        <f t="shared" si="134"/>
        <v>563906</v>
      </c>
      <c r="M227" s="59">
        <f t="shared" si="134"/>
        <v>570402</v>
      </c>
      <c r="N227" s="59">
        <f t="shared" si="134"/>
        <v>583039</v>
      </c>
      <c r="O227" s="59">
        <f t="shared" si="134"/>
        <v>583519</v>
      </c>
      <c r="P227" s="59">
        <f t="shared" si="134"/>
        <v>583519</v>
      </c>
      <c r="Q227" s="59">
        <f t="shared" si="134"/>
        <v>584919</v>
      </c>
      <c r="R227" s="59">
        <f t="shared" si="134"/>
        <v>586323</v>
      </c>
      <c r="S227" s="59">
        <f t="shared" si="134"/>
        <v>588669</v>
      </c>
      <c r="T227" s="59">
        <f t="shared" si="134"/>
        <v>588669</v>
      </c>
      <c r="U227" s="59">
        <f t="shared" si="134"/>
        <v>589469</v>
      </c>
      <c r="V227" s="59">
        <f>W227-W185</f>
        <v>591847</v>
      </c>
      <c r="W227" s="59">
        <v>591847</v>
      </c>
      <c r="X227" s="59">
        <f t="shared" ref="X227:AK227" si="139">W227+X185</f>
        <v>591847</v>
      </c>
      <c r="Y227" s="59">
        <f t="shared" si="139"/>
        <v>591847</v>
      </c>
      <c r="Z227" s="59">
        <f t="shared" si="139"/>
        <v>591847</v>
      </c>
      <c r="AA227" s="59">
        <f t="shared" si="139"/>
        <v>591847</v>
      </c>
      <c r="AB227" s="59">
        <f t="shared" si="139"/>
        <v>591847</v>
      </c>
      <c r="AC227" s="59">
        <f t="shared" si="139"/>
        <v>591847</v>
      </c>
      <c r="AD227" s="59">
        <f t="shared" si="139"/>
        <v>591847</v>
      </c>
      <c r="AE227" s="59">
        <f t="shared" si="139"/>
        <v>591847</v>
      </c>
      <c r="AF227" s="59">
        <f t="shared" si="139"/>
        <v>591847</v>
      </c>
      <c r="AG227" s="59">
        <f t="shared" si="139"/>
        <v>591847</v>
      </c>
      <c r="AH227" s="59">
        <f t="shared" si="139"/>
        <v>591847</v>
      </c>
      <c r="AI227" s="59">
        <f t="shared" si="139"/>
        <v>591847</v>
      </c>
      <c r="AJ227" s="59">
        <f t="shared" si="139"/>
        <v>591847</v>
      </c>
      <c r="AK227" s="59">
        <f t="shared" si="139"/>
        <v>591847</v>
      </c>
    </row>
    <row r="228" spans="1:37" s="3" customFormat="1" x14ac:dyDescent="0.25">
      <c r="B228" s="4"/>
    </row>
    <row r="229" spans="1:37" s="37" customFormat="1" ht="17.25" x14ac:dyDescent="0.3">
      <c r="A229" s="37" t="s">
        <v>273</v>
      </c>
    </row>
    <row r="230" spans="1:37" x14ac:dyDescent="0.25">
      <c r="B230" s="64" t="s">
        <v>31</v>
      </c>
      <c r="C230" t="s">
        <v>1034</v>
      </c>
    </row>
    <row r="231" spans="1:37" x14ac:dyDescent="0.25">
      <c r="B231" s="64"/>
      <c r="C231" t="s">
        <v>1024</v>
      </c>
    </row>
    <row r="232" spans="1:37" x14ac:dyDescent="0.25">
      <c r="B232" s="64" t="s">
        <v>32</v>
      </c>
      <c r="C232" s="195" t="s">
        <v>1463</v>
      </c>
    </row>
    <row r="233" spans="1:37" s="223" customFormat="1" x14ac:dyDescent="0.25">
      <c r="B233" s="64"/>
      <c r="C233" s="165" t="s">
        <v>1452</v>
      </c>
    </row>
    <row r="234" spans="1:37" s="223" customFormat="1" x14ac:dyDescent="0.25">
      <c r="B234" s="64"/>
      <c r="C234" s="195" t="s">
        <v>410</v>
      </c>
    </row>
    <row r="235" spans="1:37" s="223" customFormat="1" x14ac:dyDescent="0.25">
      <c r="B235" s="64"/>
      <c r="C235" s="268" t="s">
        <v>1451</v>
      </c>
    </row>
    <row r="236" spans="1:37" x14ac:dyDescent="0.25">
      <c r="B236" s="64" t="s">
        <v>331</v>
      </c>
      <c r="C236" t="s">
        <v>335</v>
      </c>
    </row>
    <row r="237" spans="1:37" x14ac:dyDescent="0.25">
      <c r="B237" s="64" t="s">
        <v>332</v>
      </c>
      <c r="C237" t="s">
        <v>1022</v>
      </c>
    </row>
    <row r="238" spans="1:37" s="34" customFormat="1" ht="15.75" thickBot="1" x14ac:dyDescent="0.3">
      <c r="B238" s="65" t="s">
        <v>334</v>
      </c>
      <c r="C238" s="34" t="s">
        <v>1035</v>
      </c>
    </row>
    <row r="239" spans="1:37" ht="15.75" thickTop="1" x14ac:dyDescent="0.25">
      <c r="B239" s="66" t="s">
        <v>34</v>
      </c>
    </row>
    <row r="240" spans="1:37" x14ac:dyDescent="0.25">
      <c r="B240">
        <v>10</v>
      </c>
      <c r="C240" t="s">
        <v>274</v>
      </c>
      <c r="H240" t="s">
        <v>801</v>
      </c>
      <c r="I240" s="59">
        <v>23136</v>
      </c>
      <c r="J240" s="59">
        <v>23137</v>
      </c>
      <c r="K240" s="59">
        <v>23668</v>
      </c>
      <c r="L240" s="59">
        <v>24464</v>
      </c>
      <c r="M240" s="59">
        <v>25714</v>
      </c>
      <c r="N240" s="59">
        <v>27029</v>
      </c>
      <c r="O240" s="59">
        <v>28029</v>
      </c>
      <c r="P240" s="59">
        <v>26773</v>
      </c>
      <c r="Q240" s="59">
        <v>26308</v>
      </c>
      <c r="R240" s="59">
        <v>26607</v>
      </c>
      <c r="S240" s="59">
        <v>27348</v>
      </c>
      <c r="T240" s="59">
        <v>28653</v>
      </c>
      <c r="U240" s="59">
        <v>29898</v>
      </c>
      <c r="V240" s="59">
        <v>30711</v>
      </c>
      <c r="W240" s="59">
        <v>32071</v>
      </c>
      <c r="X240" s="59">
        <v>32741</v>
      </c>
      <c r="Y240" s="59">
        <v>33629</v>
      </c>
      <c r="Z240" s="59">
        <v>34492</v>
      </c>
    </row>
    <row r="241" spans="2:26" x14ac:dyDescent="0.25">
      <c r="B241" t="s">
        <v>275</v>
      </c>
      <c r="D241" t="s">
        <v>280</v>
      </c>
      <c r="H241" t="s">
        <v>801</v>
      </c>
      <c r="I241" s="59" t="s">
        <v>291</v>
      </c>
      <c r="J241" s="59" t="s">
        <v>291</v>
      </c>
      <c r="K241" s="59" t="s">
        <v>291</v>
      </c>
      <c r="L241" s="59" t="s">
        <v>291</v>
      </c>
      <c r="M241" s="59" t="s">
        <v>291</v>
      </c>
      <c r="N241" s="59" t="s">
        <v>291</v>
      </c>
      <c r="O241" s="59" t="s">
        <v>291</v>
      </c>
      <c r="P241" s="59" t="s">
        <v>291</v>
      </c>
      <c r="Q241" s="59" t="s">
        <v>291</v>
      </c>
      <c r="R241" s="59" t="s">
        <v>291</v>
      </c>
      <c r="S241" s="59" t="s">
        <v>291</v>
      </c>
      <c r="T241" s="59"/>
      <c r="U241" s="59"/>
      <c r="V241" s="59"/>
      <c r="W241" s="59"/>
      <c r="X241" s="59"/>
      <c r="Y241" s="59"/>
      <c r="Z241" s="59"/>
    </row>
    <row r="242" spans="2:26" x14ac:dyDescent="0.25">
      <c r="B242">
        <v>20</v>
      </c>
      <c r="E242" t="s">
        <v>276</v>
      </c>
      <c r="H242" t="s">
        <v>801</v>
      </c>
      <c r="I242" s="59">
        <v>17783</v>
      </c>
      <c r="J242" s="59">
        <v>17511</v>
      </c>
      <c r="K242" s="59">
        <v>17570</v>
      </c>
      <c r="L242" s="59">
        <v>17984</v>
      </c>
      <c r="M242" s="59">
        <v>18648</v>
      </c>
      <c r="N242" s="59">
        <v>19215</v>
      </c>
      <c r="O242" s="59">
        <v>19685</v>
      </c>
      <c r="P242" s="59">
        <v>18090</v>
      </c>
      <c r="Q242" s="59">
        <v>17600</v>
      </c>
      <c r="R242" s="59">
        <v>17585</v>
      </c>
      <c r="S242" s="59">
        <v>18094</v>
      </c>
      <c r="T242" s="59">
        <v>18836</v>
      </c>
      <c r="U242" s="59">
        <v>19564</v>
      </c>
      <c r="V242" s="59">
        <v>20323</v>
      </c>
      <c r="W242" s="59">
        <v>21068</v>
      </c>
      <c r="X242" s="59">
        <v>21513</v>
      </c>
      <c r="Y242" s="59">
        <v>21692</v>
      </c>
      <c r="Z242" s="59">
        <v>22202</v>
      </c>
    </row>
    <row r="243" spans="2:26" x14ac:dyDescent="0.25">
      <c r="B243">
        <v>40</v>
      </c>
      <c r="E243" t="s">
        <v>277</v>
      </c>
      <c r="H243" t="s">
        <v>801</v>
      </c>
      <c r="I243" s="59">
        <v>5353</v>
      </c>
      <c r="J243" s="59">
        <v>5626</v>
      </c>
      <c r="K243" s="59">
        <v>6098</v>
      </c>
      <c r="L243" s="59">
        <v>6480</v>
      </c>
      <c r="M243" s="59">
        <v>7066</v>
      </c>
      <c r="N243" s="59">
        <v>7814</v>
      </c>
      <c r="O243" s="59">
        <v>8344</v>
      </c>
      <c r="P243" s="59">
        <v>8683</v>
      </c>
      <c r="Q243" s="59">
        <v>8708</v>
      </c>
      <c r="R243" s="59">
        <v>9022</v>
      </c>
      <c r="S243" s="59">
        <v>9254</v>
      </c>
      <c r="T243" s="59">
        <v>9817</v>
      </c>
      <c r="U243" s="59">
        <v>10334</v>
      </c>
      <c r="V243" s="59">
        <v>10388</v>
      </c>
      <c r="W243" s="59">
        <v>11003</v>
      </c>
      <c r="X243" s="59">
        <v>11228</v>
      </c>
      <c r="Y243" s="59">
        <v>11937</v>
      </c>
      <c r="Z243" s="59">
        <v>12290</v>
      </c>
    </row>
    <row r="244" spans="2:26" x14ac:dyDescent="0.25">
      <c r="B244">
        <v>50</v>
      </c>
      <c r="F244" t="s">
        <v>279</v>
      </c>
      <c r="H244" t="s">
        <v>801</v>
      </c>
      <c r="I244" s="59">
        <v>98</v>
      </c>
      <c r="J244" s="59">
        <v>96</v>
      </c>
      <c r="K244" s="59">
        <v>99</v>
      </c>
      <c r="L244" s="59">
        <v>103</v>
      </c>
      <c r="M244" s="59">
        <v>104</v>
      </c>
      <c r="N244" s="59">
        <v>129</v>
      </c>
      <c r="O244" s="59">
        <v>129</v>
      </c>
      <c r="P244" s="59">
        <v>127</v>
      </c>
      <c r="Q244" s="59">
        <v>129</v>
      </c>
      <c r="R244" s="59">
        <v>129</v>
      </c>
      <c r="S244" s="59">
        <v>124</v>
      </c>
      <c r="T244" s="59">
        <v>126</v>
      </c>
      <c r="U244" s="59">
        <v>134</v>
      </c>
      <c r="V244" s="59">
        <v>141</v>
      </c>
      <c r="W244" s="59">
        <v>146</v>
      </c>
      <c r="X244" s="59">
        <v>145</v>
      </c>
      <c r="Y244" s="59">
        <v>145</v>
      </c>
      <c r="Z244" s="59">
        <v>146</v>
      </c>
    </row>
    <row r="245" spans="2:26" x14ac:dyDescent="0.25">
      <c r="B245">
        <v>60</v>
      </c>
      <c r="F245" t="s">
        <v>278</v>
      </c>
      <c r="H245" t="s">
        <v>801</v>
      </c>
      <c r="I245" s="59">
        <v>5255</v>
      </c>
      <c r="J245" s="59">
        <v>5530</v>
      </c>
      <c r="K245" s="59">
        <v>5999</v>
      </c>
      <c r="L245" s="59">
        <v>6377</v>
      </c>
      <c r="M245" s="59">
        <v>6962</v>
      </c>
      <c r="N245" s="59">
        <v>7685</v>
      </c>
      <c r="O245" s="59">
        <v>8215</v>
      </c>
      <c r="P245" s="59">
        <v>8556</v>
      </c>
      <c r="Q245" s="59">
        <v>8579</v>
      </c>
      <c r="R245" s="59">
        <v>8893</v>
      </c>
      <c r="S245" s="59">
        <v>9130</v>
      </c>
      <c r="T245" s="59">
        <v>9691</v>
      </c>
      <c r="U245" s="59">
        <v>10200</v>
      </c>
      <c r="V245" s="59">
        <v>10247</v>
      </c>
      <c r="W245" s="59">
        <v>10857</v>
      </c>
      <c r="X245" s="59">
        <v>11083</v>
      </c>
      <c r="Y245" s="59">
        <v>11792</v>
      </c>
      <c r="Z245" s="59">
        <v>12144</v>
      </c>
    </row>
    <row r="246" spans="2:26" x14ac:dyDescent="0.25">
      <c r="B246" t="s">
        <v>275</v>
      </c>
      <c r="D246" t="s">
        <v>281</v>
      </c>
      <c r="H246" t="s">
        <v>801</v>
      </c>
      <c r="I246" s="59" t="s">
        <v>291</v>
      </c>
      <c r="J246" s="59" t="s">
        <v>291</v>
      </c>
      <c r="K246" s="59" t="s">
        <v>291</v>
      </c>
      <c r="L246" s="59" t="s">
        <v>291</v>
      </c>
      <c r="M246" s="59" t="s">
        <v>291</v>
      </c>
      <c r="N246" s="59" t="s">
        <v>291</v>
      </c>
      <c r="O246" s="59" t="s">
        <v>291</v>
      </c>
      <c r="P246" s="59" t="s">
        <v>291</v>
      </c>
      <c r="Q246" s="59" t="s">
        <v>291</v>
      </c>
      <c r="R246" s="59" t="s">
        <v>291</v>
      </c>
      <c r="S246" s="59" t="s">
        <v>291</v>
      </c>
      <c r="T246" s="59"/>
      <c r="U246" s="59"/>
      <c r="V246" s="59"/>
      <c r="W246" s="59"/>
      <c r="X246" s="59"/>
      <c r="Y246" s="59"/>
      <c r="Z246" s="59"/>
    </row>
    <row r="247" spans="2:26" x14ac:dyDescent="0.25">
      <c r="B247">
        <v>70</v>
      </c>
      <c r="E247" t="s">
        <v>282</v>
      </c>
      <c r="H247" t="s">
        <v>801</v>
      </c>
      <c r="I247" s="59">
        <v>159</v>
      </c>
      <c r="J247" s="59">
        <v>153</v>
      </c>
      <c r="K247" s="59">
        <v>155</v>
      </c>
      <c r="L247" s="59">
        <v>156</v>
      </c>
      <c r="M247" s="59">
        <v>156</v>
      </c>
      <c r="N247" s="59">
        <v>178</v>
      </c>
      <c r="O247" s="59">
        <v>181</v>
      </c>
      <c r="P247" s="59">
        <v>177</v>
      </c>
      <c r="Q247" s="59">
        <v>181</v>
      </c>
      <c r="R247" s="59">
        <v>190</v>
      </c>
      <c r="S247" s="59">
        <v>193</v>
      </c>
      <c r="T247" s="59">
        <v>195</v>
      </c>
      <c r="U247" s="59">
        <v>200</v>
      </c>
      <c r="V247" s="59">
        <v>212</v>
      </c>
      <c r="W247" s="59">
        <v>218</v>
      </c>
      <c r="X247" s="59">
        <v>225</v>
      </c>
      <c r="Y247" s="59">
        <v>217</v>
      </c>
      <c r="Z247" s="59">
        <v>222</v>
      </c>
    </row>
    <row r="248" spans="2:26" x14ac:dyDescent="0.25">
      <c r="B248">
        <v>80</v>
      </c>
      <c r="E248" t="s">
        <v>283</v>
      </c>
      <c r="H248" t="s">
        <v>801</v>
      </c>
      <c r="I248" s="59">
        <v>22977</v>
      </c>
      <c r="J248" s="59">
        <v>22984</v>
      </c>
      <c r="K248" s="59">
        <v>23513</v>
      </c>
      <c r="L248" s="59">
        <v>24308</v>
      </c>
      <c r="M248" s="59">
        <v>25558</v>
      </c>
      <c r="N248" s="59">
        <v>26851</v>
      </c>
      <c r="O248" s="59">
        <v>27848</v>
      </c>
      <c r="P248" s="59">
        <v>26596</v>
      </c>
      <c r="Q248" s="59">
        <v>26127</v>
      </c>
      <c r="R248" s="59">
        <v>26417</v>
      </c>
      <c r="S248" s="59">
        <v>27155</v>
      </c>
      <c r="T248" s="59">
        <v>28458</v>
      </c>
      <c r="U248" s="59">
        <v>29698</v>
      </c>
      <c r="V248" s="59">
        <v>30499</v>
      </c>
      <c r="W248" s="59">
        <v>31853</v>
      </c>
      <c r="X248" s="59">
        <v>32516</v>
      </c>
      <c r="Y248" s="59">
        <v>33412</v>
      </c>
      <c r="Z248" s="59">
        <v>34270</v>
      </c>
    </row>
    <row r="249" spans="2:26" x14ac:dyDescent="0.25">
      <c r="B249">
        <v>90</v>
      </c>
      <c r="F249" t="s">
        <v>284</v>
      </c>
      <c r="H249" t="s">
        <v>801</v>
      </c>
      <c r="I249" s="59">
        <v>20807</v>
      </c>
      <c r="J249" s="59">
        <v>20760</v>
      </c>
      <c r="K249" s="59">
        <v>21293</v>
      </c>
      <c r="L249" s="59">
        <v>22041</v>
      </c>
      <c r="M249" s="59">
        <v>23259</v>
      </c>
      <c r="N249" s="59">
        <v>24582</v>
      </c>
      <c r="O249" s="59">
        <v>25565</v>
      </c>
      <c r="P249" s="59">
        <v>24240</v>
      </c>
      <c r="Q249" s="59">
        <v>23741</v>
      </c>
      <c r="R249" s="59">
        <v>24023</v>
      </c>
      <c r="S249" s="59">
        <v>24758</v>
      </c>
      <c r="T249" s="59">
        <v>26043</v>
      </c>
      <c r="U249" s="59">
        <v>27224</v>
      </c>
      <c r="V249" s="59">
        <v>27977</v>
      </c>
      <c r="W249" s="59">
        <v>29254</v>
      </c>
      <c r="X249" s="59">
        <v>29871</v>
      </c>
      <c r="Y249" s="59">
        <v>30792</v>
      </c>
      <c r="Z249" s="59">
        <v>31578</v>
      </c>
    </row>
    <row r="250" spans="2:26" x14ac:dyDescent="0.25">
      <c r="B250">
        <v>100</v>
      </c>
      <c r="G250" t="s">
        <v>293</v>
      </c>
      <c r="H250" t="s">
        <v>801</v>
      </c>
      <c r="I250" s="59" t="s">
        <v>292</v>
      </c>
      <c r="J250" s="59" t="s">
        <v>292</v>
      </c>
      <c r="K250" s="59" t="s">
        <v>292</v>
      </c>
      <c r="L250" s="59">
        <v>106</v>
      </c>
      <c r="M250" s="59">
        <v>108</v>
      </c>
      <c r="N250" s="59" t="s">
        <v>292</v>
      </c>
      <c r="O250" s="59">
        <v>125</v>
      </c>
      <c r="P250" s="59">
        <v>129</v>
      </c>
      <c r="Q250" s="59">
        <v>141</v>
      </c>
      <c r="R250" s="59" t="s">
        <v>292</v>
      </c>
      <c r="S250" s="59" t="s">
        <v>292</v>
      </c>
      <c r="T250" s="59">
        <v>157</v>
      </c>
      <c r="U250" s="59" t="s">
        <v>292</v>
      </c>
      <c r="V250" s="59">
        <v>127</v>
      </c>
      <c r="W250" s="59">
        <v>144</v>
      </c>
      <c r="X250" s="59">
        <v>144</v>
      </c>
      <c r="Y250" s="59">
        <v>148</v>
      </c>
      <c r="Z250" s="59">
        <v>159</v>
      </c>
    </row>
    <row r="251" spans="2:26" x14ac:dyDescent="0.25">
      <c r="B251">
        <v>200</v>
      </c>
      <c r="G251" t="s">
        <v>294</v>
      </c>
      <c r="H251" t="s">
        <v>801</v>
      </c>
      <c r="I251" s="59" t="s">
        <v>292</v>
      </c>
      <c r="J251" s="59" t="s">
        <v>292</v>
      </c>
      <c r="K251" s="59" t="s">
        <v>292</v>
      </c>
      <c r="L251" s="59">
        <v>99</v>
      </c>
      <c r="M251" s="59">
        <v>154</v>
      </c>
      <c r="N251" s="59" t="s">
        <v>292</v>
      </c>
      <c r="O251" s="59">
        <v>220</v>
      </c>
      <c r="P251" s="59">
        <v>189</v>
      </c>
      <c r="Q251" s="59">
        <v>223</v>
      </c>
      <c r="R251" s="59" t="s">
        <v>292</v>
      </c>
      <c r="S251" s="59" t="s">
        <v>292</v>
      </c>
      <c r="T251" s="59">
        <v>242</v>
      </c>
      <c r="U251" s="59" t="s">
        <v>292</v>
      </c>
      <c r="V251" s="59">
        <v>234</v>
      </c>
      <c r="W251" s="59">
        <v>197</v>
      </c>
      <c r="X251" s="59">
        <v>183</v>
      </c>
      <c r="Y251" s="59">
        <v>149</v>
      </c>
      <c r="Z251" s="59">
        <v>134</v>
      </c>
    </row>
    <row r="252" spans="2:26" x14ac:dyDescent="0.25">
      <c r="B252">
        <v>300</v>
      </c>
      <c r="G252" t="s">
        <v>295</v>
      </c>
      <c r="H252" t="s">
        <v>801</v>
      </c>
      <c r="I252" s="59" t="s">
        <v>292</v>
      </c>
      <c r="J252" s="59" t="s">
        <v>292</v>
      </c>
      <c r="K252" s="59" t="s">
        <v>292</v>
      </c>
      <c r="L252" s="59" t="s">
        <v>292</v>
      </c>
      <c r="M252" s="59" t="s">
        <v>292</v>
      </c>
      <c r="N252" s="59" t="s">
        <v>292</v>
      </c>
      <c r="O252" s="59" t="s">
        <v>292</v>
      </c>
      <c r="P252" s="59" t="s">
        <v>292</v>
      </c>
      <c r="Q252" s="59" t="s">
        <v>292</v>
      </c>
      <c r="R252" s="59" t="s">
        <v>292</v>
      </c>
      <c r="S252" s="59" t="s">
        <v>292</v>
      </c>
      <c r="T252" s="59" t="s">
        <v>292</v>
      </c>
      <c r="U252" s="59" t="s">
        <v>292</v>
      </c>
      <c r="V252" s="59" t="s">
        <v>292</v>
      </c>
      <c r="W252" s="59" t="s">
        <v>292</v>
      </c>
      <c r="X252" s="59" t="s">
        <v>292</v>
      </c>
      <c r="Y252" s="59" t="s">
        <v>292</v>
      </c>
      <c r="Z252" s="59" t="s">
        <v>292</v>
      </c>
    </row>
    <row r="253" spans="2:26" x14ac:dyDescent="0.25">
      <c r="B253">
        <v>400</v>
      </c>
      <c r="G253" t="s">
        <v>296</v>
      </c>
      <c r="H253" t="s">
        <v>801</v>
      </c>
      <c r="I253" s="59">
        <v>3167</v>
      </c>
      <c r="J253" s="59">
        <v>2826</v>
      </c>
      <c r="K253" s="59">
        <v>2675</v>
      </c>
      <c r="L253" s="59">
        <v>2752</v>
      </c>
      <c r="M253" s="59">
        <v>2948</v>
      </c>
      <c r="N253" s="59">
        <v>3169</v>
      </c>
      <c r="O253" s="59">
        <v>3236</v>
      </c>
      <c r="P253" s="59">
        <v>2748</v>
      </c>
      <c r="Q253" s="59">
        <v>2200</v>
      </c>
      <c r="R253" s="59">
        <v>2206</v>
      </c>
      <c r="S253" s="59">
        <v>2321</v>
      </c>
      <c r="T253" s="59">
        <v>2452</v>
      </c>
      <c r="U253" s="59">
        <v>2567</v>
      </c>
      <c r="V253" s="59">
        <v>2672</v>
      </c>
      <c r="W253" s="59">
        <v>2846</v>
      </c>
      <c r="X253" s="59">
        <v>2832</v>
      </c>
      <c r="Y253" s="59">
        <v>2789</v>
      </c>
      <c r="Z253" s="59">
        <v>2930</v>
      </c>
    </row>
    <row r="254" spans="2:26" x14ac:dyDescent="0.25">
      <c r="B254">
        <v>500</v>
      </c>
      <c r="G254" t="s">
        <v>297</v>
      </c>
      <c r="H254" t="s">
        <v>801</v>
      </c>
      <c r="I254" s="59">
        <v>308</v>
      </c>
      <c r="J254" s="59">
        <v>279</v>
      </c>
      <c r="K254" s="59">
        <v>260</v>
      </c>
      <c r="L254" s="59">
        <v>254</v>
      </c>
      <c r="M254" s="59">
        <v>267</v>
      </c>
      <c r="N254" s="59">
        <v>240</v>
      </c>
      <c r="O254" s="59">
        <v>243</v>
      </c>
      <c r="P254" s="59">
        <v>262</v>
      </c>
      <c r="Q254" s="59">
        <v>257</v>
      </c>
      <c r="R254" s="59">
        <v>286</v>
      </c>
      <c r="S254" s="59">
        <v>271</v>
      </c>
      <c r="T254" s="59">
        <v>287</v>
      </c>
      <c r="U254" s="59">
        <v>286</v>
      </c>
      <c r="V254" s="59">
        <v>315</v>
      </c>
      <c r="W254" s="59">
        <v>332</v>
      </c>
      <c r="X254" s="59">
        <v>365</v>
      </c>
      <c r="Y254" s="59">
        <v>414</v>
      </c>
      <c r="Z254" s="59">
        <v>418</v>
      </c>
    </row>
    <row r="255" spans="2:26" x14ac:dyDescent="0.25">
      <c r="B255">
        <v>600</v>
      </c>
      <c r="G255" t="s">
        <v>298</v>
      </c>
      <c r="H255" t="s">
        <v>801</v>
      </c>
      <c r="I255" s="59" t="s">
        <v>292</v>
      </c>
      <c r="J255" s="59" t="s">
        <v>292</v>
      </c>
      <c r="K255" s="59" t="s">
        <v>292</v>
      </c>
      <c r="L255" s="59" t="s">
        <v>292</v>
      </c>
      <c r="M255" s="59" t="s">
        <v>292</v>
      </c>
      <c r="N255" s="59" t="s">
        <v>292</v>
      </c>
      <c r="O255" s="59" t="s">
        <v>292</v>
      </c>
      <c r="P255" s="59" t="s">
        <v>292</v>
      </c>
      <c r="Q255" s="59" t="s">
        <v>292</v>
      </c>
      <c r="R255" s="59" t="s">
        <v>292</v>
      </c>
      <c r="S255" s="59" t="s">
        <v>292</v>
      </c>
      <c r="T255" s="59" t="s">
        <v>292</v>
      </c>
      <c r="U255" s="59" t="s">
        <v>292</v>
      </c>
      <c r="V255" s="59" t="s">
        <v>292</v>
      </c>
      <c r="W255" s="59" t="s">
        <v>292</v>
      </c>
      <c r="X255" s="59" t="s">
        <v>292</v>
      </c>
      <c r="Y255" s="59" t="s">
        <v>292</v>
      </c>
      <c r="Z255" s="59" t="s">
        <v>292</v>
      </c>
    </row>
    <row r="256" spans="2:26" x14ac:dyDescent="0.25">
      <c r="B256">
        <v>700</v>
      </c>
      <c r="G256" t="s">
        <v>299</v>
      </c>
      <c r="H256" t="s">
        <v>801</v>
      </c>
      <c r="I256" s="59">
        <v>2453</v>
      </c>
      <c r="J256" s="59">
        <v>2300</v>
      </c>
      <c r="K256" s="59">
        <v>2250</v>
      </c>
      <c r="L256" s="59">
        <v>2247</v>
      </c>
      <c r="M256" s="59">
        <v>2320</v>
      </c>
      <c r="N256" s="59">
        <v>2360</v>
      </c>
      <c r="O256" s="59">
        <v>2352</v>
      </c>
      <c r="P256" s="59">
        <v>2222</v>
      </c>
      <c r="Q256" s="59">
        <v>2131</v>
      </c>
      <c r="R256" s="59">
        <v>2141</v>
      </c>
      <c r="S256" s="59">
        <v>2169</v>
      </c>
      <c r="T256" s="59">
        <v>2348</v>
      </c>
      <c r="U256" s="59">
        <v>2488</v>
      </c>
      <c r="V256" s="59">
        <v>2641</v>
      </c>
      <c r="W256" s="59">
        <v>2674</v>
      </c>
      <c r="X256" s="59">
        <v>2604</v>
      </c>
      <c r="Y256" s="59">
        <v>2683</v>
      </c>
      <c r="Z256" s="59">
        <v>2683</v>
      </c>
    </row>
    <row r="257" spans="2:26" x14ac:dyDescent="0.25">
      <c r="B257">
        <v>800</v>
      </c>
      <c r="G257" t="s">
        <v>300</v>
      </c>
      <c r="H257" t="s">
        <v>801</v>
      </c>
      <c r="I257" s="59">
        <v>395</v>
      </c>
      <c r="J257" s="59">
        <v>402</v>
      </c>
      <c r="K257" s="59">
        <v>432</v>
      </c>
      <c r="L257" s="59">
        <v>426</v>
      </c>
      <c r="M257" s="59">
        <v>426</v>
      </c>
      <c r="N257" s="59">
        <v>449</v>
      </c>
      <c r="O257" s="59">
        <v>472</v>
      </c>
      <c r="P257" s="59">
        <v>470</v>
      </c>
      <c r="Q257" s="59">
        <v>483</v>
      </c>
      <c r="R257" s="59">
        <v>460</v>
      </c>
      <c r="S257" s="59">
        <v>494</v>
      </c>
      <c r="T257" s="59">
        <v>539</v>
      </c>
      <c r="U257" s="59">
        <v>514</v>
      </c>
      <c r="V257" s="59">
        <v>566</v>
      </c>
      <c r="W257" s="59">
        <v>583</v>
      </c>
      <c r="X257" s="59">
        <v>668</v>
      </c>
      <c r="Y257" s="59">
        <v>746</v>
      </c>
      <c r="Z257" s="59">
        <v>744</v>
      </c>
    </row>
    <row r="258" spans="2:26" x14ac:dyDescent="0.25">
      <c r="B258">
        <v>900</v>
      </c>
      <c r="G258" t="s">
        <v>301</v>
      </c>
      <c r="H258" t="s">
        <v>801</v>
      </c>
      <c r="I258" s="59">
        <v>394</v>
      </c>
      <c r="J258" s="59">
        <v>385</v>
      </c>
      <c r="K258" s="59">
        <v>370</v>
      </c>
      <c r="L258" s="59">
        <v>365</v>
      </c>
      <c r="M258" s="59">
        <v>361</v>
      </c>
      <c r="N258" s="59">
        <v>348</v>
      </c>
      <c r="O258" s="59">
        <v>351</v>
      </c>
      <c r="P258" s="59">
        <v>342</v>
      </c>
      <c r="Q258" s="59">
        <v>332</v>
      </c>
      <c r="R258" s="59">
        <v>349</v>
      </c>
      <c r="S258" s="59">
        <v>352</v>
      </c>
      <c r="T258" s="59">
        <v>364</v>
      </c>
      <c r="U258" s="59">
        <v>377</v>
      </c>
      <c r="V258" s="59">
        <v>347</v>
      </c>
      <c r="W258" s="59">
        <v>362</v>
      </c>
      <c r="X258" s="59">
        <v>396</v>
      </c>
      <c r="Y258" s="59">
        <v>384</v>
      </c>
      <c r="Z258" s="59">
        <v>382</v>
      </c>
    </row>
    <row r="259" spans="2:26" x14ac:dyDescent="0.25">
      <c r="B259">
        <v>1000</v>
      </c>
      <c r="G259" t="s">
        <v>302</v>
      </c>
      <c r="H259" t="s">
        <v>801</v>
      </c>
      <c r="I259" s="59">
        <v>932</v>
      </c>
      <c r="J259" s="59">
        <v>1007</v>
      </c>
      <c r="K259" s="59">
        <v>1054</v>
      </c>
      <c r="L259" s="59">
        <v>1140</v>
      </c>
      <c r="M259" s="59">
        <v>1218</v>
      </c>
      <c r="N259" s="59">
        <v>1452</v>
      </c>
      <c r="O259" s="59">
        <v>1670</v>
      </c>
      <c r="P259" s="59">
        <v>1937</v>
      </c>
      <c r="Q259" s="59">
        <v>1798</v>
      </c>
      <c r="R259" s="59">
        <v>2015</v>
      </c>
      <c r="S259" s="59">
        <v>2067</v>
      </c>
      <c r="T259" s="59">
        <v>2222</v>
      </c>
      <c r="U259" s="59">
        <v>2290</v>
      </c>
      <c r="V259" s="59">
        <v>2356</v>
      </c>
      <c r="W259" s="59">
        <v>2457</v>
      </c>
      <c r="X259" s="59">
        <v>2508</v>
      </c>
      <c r="Y259" s="59">
        <v>2880</v>
      </c>
      <c r="Z259" s="59">
        <v>2953</v>
      </c>
    </row>
    <row r="260" spans="2:26" x14ac:dyDescent="0.25">
      <c r="B260">
        <v>1100</v>
      </c>
      <c r="G260" t="s">
        <v>303</v>
      </c>
      <c r="H260" t="s">
        <v>801</v>
      </c>
      <c r="I260" s="59">
        <v>1652</v>
      </c>
      <c r="J260" s="59">
        <v>1682</v>
      </c>
      <c r="K260" s="59">
        <v>1885</v>
      </c>
      <c r="L260" s="59">
        <v>2177</v>
      </c>
      <c r="M260" s="59">
        <v>2479</v>
      </c>
      <c r="N260" s="59">
        <v>2679</v>
      </c>
      <c r="O260" s="59">
        <v>2986</v>
      </c>
      <c r="P260" s="59">
        <v>2825</v>
      </c>
      <c r="Q260" s="59">
        <v>2922</v>
      </c>
      <c r="R260" s="59">
        <v>2940</v>
      </c>
      <c r="S260" s="59">
        <v>2911</v>
      </c>
      <c r="T260" s="59">
        <v>3088</v>
      </c>
      <c r="U260" s="59">
        <v>3272</v>
      </c>
      <c r="V260" s="59">
        <v>3268</v>
      </c>
      <c r="W260" s="59">
        <v>3387</v>
      </c>
      <c r="X260" s="59">
        <v>3521</v>
      </c>
      <c r="Y260" s="59">
        <v>3706</v>
      </c>
      <c r="Z260" s="59">
        <v>3874</v>
      </c>
    </row>
    <row r="261" spans="2:26" x14ac:dyDescent="0.25">
      <c r="B261">
        <v>1200</v>
      </c>
      <c r="G261" t="s">
        <v>304</v>
      </c>
      <c r="H261" t="s">
        <v>801</v>
      </c>
      <c r="I261" s="59">
        <v>1575</v>
      </c>
      <c r="J261" s="59">
        <v>1574</v>
      </c>
      <c r="K261" s="59">
        <v>1669</v>
      </c>
      <c r="L261" s="59">
        <v>1636</v>
      </c>
      <c r="M261" s="59">
        <v>1729</v>
      </c>
      <c r="N261" s="59">
        <v>1915</v>
      </c>
      <c r="O261" s="59">
        <v>1920</v>
      </c>
      <c r="P261" s="59">
        <v>1819</v>
      </c>
      <c r="Q261" s="59">
        <v>1852</v>
      </c>
      <c r="R261" s="59">
        <v>1813</v>
      </c>
      <c r="S261" s="59">
        <v>1869</v>
      </c>
      <c r="T261" s="59">
        <v>1997</v>
      </c>
      <c r="U261" s="59">
        <v>2144</v>
      </c>
      <c r="V261" s="59">
        <v>2226</v>
      </c>
      <c r="W261" s="59">
        <v>2268</v>
      </c>
      <c r="X261" s="59">
        <v>2291</v>
      </c>
      <c r="Y261" s="59">
        <v>2396</v>
      </c>
      <c r="Z261" s="59">
        <v>2477</v>
      </c>
    </row>
    <row r="262" spans="2:26" x14ac:dyDescent="0.25">
      <c r="B262">
        <v>1300</v>
      </c>
      <c r="G262" t="s">
        <v>305</v>
      </c>
      <c r="H262" t="s">
        <v>801</v>
      </c>
      <c r="I262" s="59">
        <v>78</v>
      </c>
      <c r="J262" s="59">
        <v>79</v>
      </c>
      <c r="K262" s="59">
        <v>100</v>
      </c>
      <c r="L262" s="59">
        <v>114</v>
      </c>
      <c r="M262" s="59">
        <v>131</v>
      </c>
      <c r="N262" s="59">
        <v>126</v>
      </c>
      <c r="O262" s="59">
        <v>102</v>
      </c>
      <c r="P262" s="59">
        <v>94</v>
      </c>
      <c r="Q262" s="59">
        <v>86</v>
      </c>
      <c r="R262" s="59">
        <v>88</v>
      </c>
      <c r="S262" s="59">
        <v>93</v>
      </c>
      <c r="T262" s="59">
        <v>74</v>
      </c>
      <c r="U262" s="59">
        <v>147</v>
      </c>
      <c r="V262" s="59">
        <v>163</v>
      </c>
      <c r="W262" s="59">
        <v>300</v>
      </c>
      <c r="X262" s="59">
        <v>257</v>
      </c>
      <c r="Y262" s="59">
        <v>193</v>
      </c>
      <c r="Z262" s="59">
        <v>197</v>
      </c>
    </row>
    <row r="263" spans="2:26" x14ac:dyDescent="0.25">
      <c r="B263">
        <v>1400</v>
      </c>
      <c r="G263" t="s">
        <v>306</v>
      </c>
      <c r="H263" t="s">
        <v>801</v>
      </c>
      <c r="I263" s="59">
        <v>1028</v>
      </c>
      <c r="J263" s="59">
        <v>1044</v>
      </c>
      <c r="K263" s="59">
        <v>1058</v>
      </c>
      <c r="L263" s="59">
        <v>1048</v>
      </c>
      <c r="M263" s="59">
        <v>1124</v>
      </c>
      <c r="N263" s="59">
        <v>1203</v>
      </c>
      <c r="O263" s="59">
        <v>1203</v>
      </c>
      <c r="P263" s="59">
        <v>1186</v>
      </c>
      <c r="Q263" s="59">
        <v>1123</v>
      </c>
      <c r="R263" s="59">
        <v>1109</v>
      </c>
      <c r="S263" s="59">
        <v>1185</v>
      </c>
      <c r="T263" s="59">
        <v>1317</v>
      </c>
      <c r="U263" s="59">
        <v>1308</v>
      </c>
      <c r="V263" s="59">
        <v>1347</v>
      </c>
      <c r="W263" s="59">
        <v>1550</v>
      </c>
      <c r="X263" s="59">
        <v>1503</v>
      </c>
      <c r="Y263" s="59">
        <v>1513</v>
      </c>
      <c r="Z263" s="59">
        <v>1578</v>
      </c>
    </row>
    <row r="264" spans="2:26" x14ac:dyDescent="0.25">
      <c r="B264">
        <v>1500</v>
      </c>
      <c r="G264" t="s">
        <v>307</v>
      </c>
      <c r="H264" t="s">
        <v>801</v>
      </c>
      <c r="I264" s="59">
        <v>205</v>
      </c>
      <c r="J264" s="59">
        <v>228</v>
      </c>
      <c r="K264" s="59">
        <v>258</v>
      </c>
      <c r="L264" s="59">
        <v>287</v>
      </c>
      <c r="M264" s="59">
        <v>293</v>
      </c>
      <c r="N264" s="59">
        <v>288</v>
      </c>
      <c r="O264" s="59">
        <v>327</v>
      </c>
      <c r="P264" s="59">
        <v>324</v>
      </c>
      <c r="Q264" s="59">
        <v>361</v>
      </c>
      <c r="R264" s="59">
        <v>362</v>
      </c>
      <c r="S264" s="59">
        <v>360</v>
      </c>
      <c r="T264" s="59">
        <v>459</v>
      </c>
      <c r="U264" s="59">
        <v>486</v>
      </c>
      <c r="V264" s="59">
        <v>508</v>
      </c>
      <c r="W264" s="59">
        <v>573</v>
      </c>
      <c r="X264" s="59">
        <v>551</v>
      </c>
      <c r="Y264" s="59">
        <v>533</v>
      </c>
      <c r="Z264" s="59">
        <v>562</v>
      </c>
    </row>
    <row r="265" spans="2:26" x14ac:dyDescent="0.25">
      <c r="B265">
        <v>1600</v>
      </c>
      <c r="G265" t="s">
        <v>308</v>
      </c>
      <c r="H265" t="s">
        <v>801</v>
      </c>
      <c r="I265" s="59">
        <v>777</v>
      </c>
      <c r="J265" s="59">
        <v>813</v>
      </c>
      <c r="K265" s="59">
        <v>837</v>
      </c>
      <c r="L265" s="59">
        <v>874</v>
      </c>
      <c r="M265" s="59">
        <v>901</v>
      </c>
      <c r="N265" s="59">
        <v>924</v>
      </c>
      <c r="O265" s="59">
        <v>931</v>
      </c>
      <c r="P265" s="59">
        <v>951</v>
      </c>
      <c r="Q265" s="59">
        <v>972</v>
      </c>
      <c r="R265" s="59">
        <v>975</v>
      </c>
      <c r="S265" s="59">
        <v>1025</v>
      </c>
      <c r="T265" s="59">
        <v>1076</v>
      </c>
      <c r="U265" s="59">
        <v>1092</v>
      </c>
      <c r="V265" s="59">
        <v>1123</v>
      </c>
      <c r="W265" s="59">
        <v>1168</v>
      </c>
      <c r="X265" s="59">
        <v>1187</v>
      </c>
      <c r="Y265" s="59">
        <v>1230</v>
      </c>
      <c r="Z265" s="59">
        <v>1250</v>
      </c>
    </row>
    <row r="266" spans="2:26" x14ac:dyDescent="0.25">
      <c r="B266">
        <v>1700</v>
      </c>
      <c r="G266" t="s">
        <v>309</v>
      </c>
      <c r="H266" t="s">
        <v>801</v>
      </c>
      <c r="I266" s="59">
        <v>828</v>
      </c>
      <c r="J266" s="59">
        <v>875</v>
      </c>
      <c r="K266" s="59">
        <v>946</v>
      </c>
      <c r="L266" s="59">
        <v>1051</v>
      </c>
      <c r="M266" s="59">
        <v>1093</v>
      </c>
      <c r="N266" s="59">
        <v>1209</v>
      </c>
      <c r="O266" s="59">
        <v>1248</v>
      </c>
      <c r="P266" s="59">
        <v>1172</v>
      </c>
      <c r="Q266" s="59">
        <v>1217</v>
      </c>
      <c r="R266" s="59">
        <v>1267</v>
      </c>
      <c r="S266" s="59">
        <v>1307</v>
      </c>
      <c r="T266" s="59">
        <v>1324</v>
      </c>
      <c r="U266" s="59">
        <v>1441</v>
      </c>
      <c r="V266" s="59">
        <v>1329</v>
      </c>
      <c r="W266" s="59">
        <v>1446</v>
      </c>
      <c r="X266" s="59">
        <v>1649</v>
      </c>
      <c r="Y266" s="59">
        <v>1708</v>
      </c>
      <c r="Z266" s="59">
        <v>1699</v>
      </c>
    </row>
    <row r="267" spans="2:26" x14ac:dyDescent="0.25">
      <c r="B267" t="s">
        <v>18</v>
      </c>
      <c r="G267" t="s">
        <v>310</v>
      </c>
      <c r="H267" t="s">
        <v>801</v>
      </c>
      <c r="I267" s="59">
        <v>5431</v>
      </c>
      <c r="J267" s="59">
        <v>5635</v>
      </c>
      <c r="K267" s="59">
        <v>5865</v>
      </c>
      <c r="L267" s="59">
        <v>5971</v>
      </c>
      <c r="M267" s="59">
        <v>6163</v>
      </c>
      <c r="N267" s="59">
        <v>6310</v>
      </c>
      <c r="O267" s="59">
        <v>6613</v>
      </c>
      <c r="P267" s="59">
        <v>6110</v>
      </c>
      <c r="Q267" s="59">
        <v>6252</v>
      </c>
      <c r="R267" s="59">
        <v>6264</v>
      </c>
      <c r="S267" s="59">
        <v>6446</v>
      </c>
      <c r="T267" s="59">
        <v>6540</v>
      </c>
      <c r="U267" s="59">
        <v>6813</v>
      </c>
      <c r="V267" s="59">
        <v>7091</v>
      </c>
      <c r="W267" s="59">
        <v>7328</v>
      </c>
      <c r="X267" s="59">
        <v>7528</v>
      </c>
      <c r="Y267" s="59">
        <v>7569</v>
      </c>
      <c r="Z267" s="59">
        <v>7773</v>
      </c>
    </row>
    <row r="268" spans="2:26" x14ac:dyDescent="0.25">
      <c r="B268">
        <v>1900</v>
      </c>
      <c r="G268" t="s">
        <v>311</v>
      </c>
      <c r="H268" t="s">
        <v>801</v>
      </c>
      <c r="I268" s="59">
        <v>1108</v>
      </c>
      <c r="J268" s="59">
        <v>1122</v>
      </c>
      <c r="K268" s="59">
        <v>1152</v>
      </c>
      <c r="L268" s="59">
        <v>1205</v>
      </c>
      <c r="M268" s="59">
        <v>1228</v>
      </c>
      <c r="N268" s="59">
        <v>1271</v>
      </c>
      <c r="O268" s="59">
        <v>1215</v>
      </c>
      <c r="P268" s="59">
        <v>1132</v>
      </c>
      <c r="Q268" s="59">
        <v>1068</v>
      </c>
      <c r="R268" s="59">
        <v>1110</v>
      </c>
      <c r="S268" s="59">
        <v>1191</v>
      </c>
      <c r="T268" s="59">
        <v>1247</v>
      </c>
      <c r="U268" s="59">
        <v>1240</v>
      </c>
      <c r="V268" s="59">
        <v>1285</v>
      </c>
      <c r="W268" s="59">
        <v>1298</v>
      </c>
      <c r="X268" s="59">
        <v>1342</v>
      </c>
      <c r="Y268" s="59">
        <v>1411</v>
      </c>
      <c r="Z268" s="59">
        <v>1437</v>
      </c>
    </row>
    <row r="269" spans="2:26" x14ac:dyDescent="0.25">
      <c r="B269">
        <v>2000</v>
      </c>
      <c r="F269" t="s">
        <v>285</v>
      </c>
      <c r="H269" t="s">
        <v>801</v>
      </c>
      <c r="I269" s="59">
        <v>2170</v>
      </c>
      <c r="J269" s="59">
        <v>2224</v>
      </c>
      <c r="K269" s="59">
        <v>2220</v>
      </c>
      <c r="L269" s="59">
        <v>2267</v>
      </c>
      <c r="M269" s="59">
        <v>2299</v>
      </c>
      <c r="N269" s="59">
        <v>2269</v>
      </c>
      <c r="O269" s="59">
        <v>2283</v>
      </c>
      <c r="P269" s="59">
        <v>2356</v>
      </c>
      <c r="Q269" s="59">
        <v>2386</v>
      </c>
      <c r="R269" s="59">
        <v>2394</v>
      </c>
      <c r="S269" s="59">
        <v>2397</v>
      </c>
      <c r="T269" s="59">
        <v>2415</v>
      </c>
      <c r="U269" s="59">
        <v>2474</v>
      </c>
      <c r="V269" s="59">
        <v>2522</v>
      </c>
      <c r="W269" s="59">
        <v>2599</v>
      </c>
      <c r="X269" s="59">
        <v>2645</v>
      </c>
      <c r="Y269" s="59">
        <v>2620</v>
      </c>
      <c r="Z269" s="59">
        <v>2692</v>
      </c>
    </row>
    <row r="270" spans="2:26" x14ac:dyDescent="0.25">
      <c r="B270">
        <v>2001</v>
      </c>
      <c r="G270" t="s">
        <v>286</v>
      </c>
      <c r="H270" t="s">
        <v>801</v>
      </c>
      <c r="I270" s="59">
        <v>426</v>
      </c>
      <c r="J270" s="59">
        <v>394</v>
      </c>
      <c r="K270" s="59">
        <v>365</v>
      </c>
      <c r="L270" s="59">
        <v>353</v>
      </c>
      <c r="M270" s="59">
        <v>382</v>
      </c>
      <c r="N270" s="59">
        <v>388</v>
      </c>
      <c r="O270" s="59">
        <v>393</v>
      </c>
      <c r="P270" s="59">
        <v>412</v>
      </c>
      <c r="Q270" s="59">
        <v>447</v>
      </c>
      <c r="R270" s="59">
        <v>421</v>
      </c>
      <c r="S270" s="59">
        <v>408</v>
      </c>
      <c r="T270" s="59">
        <v>406</v>
      </c>
      <c r="U270" s="59">
        <v>415</v>
      </c>
      <c r="V270" s="59">
        <v>421</v>
      </c>
      <c r="W270" s="59">
        <v>428</v>
      </c>
      <c r="X270" s="59">
        <v>420</v>
      </c>
      <c r="Y270" s="59">
        <v>392</v>
      </c>
      <c r="Z270" s="59">
        <v>400</v>
      </c>
    </row>
    <row r="271" spans="2:26" x14ac:dyDescent="0.25">
      <c r="B271">
        <v>2002</v>
      </c>
      <c r="G271" t="s">
        <v>287</v>
      </c>
      <c r="H271" t="s">
        <v>801</v>
      </c>
      <c r="I271" s="59">
        <v>107</v>
      </c>
      <c r="J271" s="59">
        <v>106</v>
      </c>
      <c r="K271" s="59">
        <v>110</v>
      </c>
      <c r="L271" s="59">
        <v>111</v>
      </c>
      <c r="M271" s="59">
        <v>118</v>
      </c>
      <c r="N271" s="59">
        <v>124</v>
      </c>
      <c r="O271" s="59">
        <v>124</v>
      </c>
      <c r="P271" s="59">
        <v>126</v>
      </c>
      <c r="Q271" s="59">
        <v>124</v>
      </c>
      <c r="R271" s="59">
        <v>123</v>
      </c>
      <c r="S271" s="59">
        <v>118</v>
      </c>
      <c r="T271" s="59">
        <v>120</v>
      </c>
      <c r="U271" s="59">
        <v>121</v>
      </c>
      <c r="V271" s="59">
        <v>121</v>
      </c>
      <c r="W271" s="59">
        <v>121</v>
      </c>
      <c r="X271" s="59">
        <v>122</v>
      </c>
      <c r="Y271" s="59">
        <v>120</v>
      </c>
      <c r="Z271" s="59">
        <v>122</v>
      </c>
    </row>
    <row r="272" spans="2:26" x14ac:dyDescent="0.25">
      <c r="B272">
        <v>2010</v>
      </c>
      <c r="G272" t="s">
        <v>288</v>
      </c>
      <c r="H272" t="s">
        <v>801</v>
      </c>
      <c r="I272" s="59">
        <v>1637</v>
      </c>
      <c r="J272" s="59">
        <v>1724</v>
      </c>
      <c r="K272" s="59">
        <v>1745</v>
      </c>
      <c r="L272" s="59">
        <v>1803</v>
      </c>
      <c r="M272" s="59">
        <v>1799</v>
      </c>
      <c r="N272" s="59">
        <v>1757</v>
      </c>
      <c r="O272" s="59">
        <v>1766</v>
      </c>
      <c r="P272" s="59">
        <v>1818</v>
      </c>
      <c r="Q272" s="59">
        <v>1815</v>
      </c>
      <c r="R272" s="59">
        <v>1850</v>
      </c>
      <c r="S272" s="59">
        <v>1871</v>
      </c>
      <c r="T272" s="59">
        <v>1889</v>
      </c>
      <c r="U272" s="59">
        <v>1938</v>
      </c>
      <c r="V272" s="59">
        <v>1980</v>
      </c>
      <c r="W272" s="59">
        <v>2050</v>
      </c>
      <c r="X272" s="59">
        <v>2103</v>
      </c>
      <c r="Y272" s="59">
        <v>2108</v>
      </c>
      <c r="Z272" s="59">
        <v>2170</v>
      </c>
    </row>
    <row r="273" spans="1:26" x14ac:dyDescent="0.25">
      <c r="B273">
        <v>2011</v>
      </c>
      <c r="G273" t="s">
        <v>289</v>
      </c>
      <c r="H273" t="s">
        <v>801</v>
      </c>
      <c r="I273" s="59">
        <v>105</v>
      </c>
      <c r="J273" s="59">
        <v>113</v>
      </c>
      <c r="K273" s="59">
        <v>106</v>
      </c>
      <c r="L273" s="59">
        <v>107</v>
      </c>
      <c r="M273" s="59">
        <v>100</v>
      </c>
      <c r="N273" s="59">
        <v>99</v>
      </c>
      <c r="O273" s="59">
        <v>102</v>
      </c>
      <c r="P273" s="59">
        <v>107</v>
      </c>
      <c r="Q273" s="59">
        <v>106</v>
      </c>
      <c r="R273" s="59">
        <v>112</v>
      </c>
      <c r="S273" s="59">
        <v>109</v>
      </c>
      <c r="T273" s="59">
        <v>103</v>
      </c>
      <c r="U273" s="59">
        <v>98</v>
      </c>
      <c r="V273" s="59">
        <v>100</v>
      </c>
      <c r="W273" s="59">
        <v>97</v>
      </c>
      <c r="X273" s="59">
        <v>99</v>
      </c>
      <c r="Y273" s="59">
        <v>96</v>
      </c>
      <c r="Z273" s="59">
        <v>91</v>
      </c>
    </row>
    <row r="274" spans="1:26" x14ac:dyDescent="0.25">
      <c r="B274">
        <v>2012</v>
      </c>
      <c r="G274" t="s">
        <v>290</v>
      </c>
      <c r="H274" t="s">
        <v>801</v>
      </c>
      <c r="I274" s="59">
        <v>1532</v>
      </c>
      <c r="J274" s="59">
        <v>1611</v>
      </c>
      <c r="K274" s="59">
        <v>1639</v>
      </c>
      <c r="L274" s="59">
        <v>1696</v>
      </c>
      <c r="M274" s="59">
        <v>1699</v>
      </c>
      <c r="N274" s="59">
        <v>1658</v>
      </c>
      <c r="O274" s="59">
        <v>1664</v>
      </c>
      <c r="P274" s="59">
        <v>1711</v>
      </c>
      <c r="Q274" s="59">
        <v>1709</v>
      </c>
      <c r="R274" s="59">
        <v>1738</v>
      </c>
      <c r="S274" s="59">
        <v>1762</v>
      </c>
      <c r="T274" s="59">
        <v>1786</v>
      </c>
      <c r="U274" s="59">
        <v>1840</v>
      </c>
      <c r="V274" s="59">
        <v>1880</v>
      </c>
      <c r="W274" s="59">
        <v>1953</v>
      </c>
      <c r="X274" s="59">
        <v>2004</v>
      </c>
      <c r="Y274" s="59">
        <v>2012</v>
      </c>
      <c r="Z274" s="59">
        <v>2079</v>
      </c>
    </row>
    <row r="275" spans="1:26" s="3" customFormat="1" x14ac:dyDescent="0.25">
      <c r="B275" s="4"/>
    </row>
    <row r="276" spans="1:26" s="37" customFormat="1" ht="17.25" x14ac:dyDescent="0.3">
      <c r="A276" s="37" t="s">
        <v>707</v>
      </c>
    </row>
    <row r="277" spans="1:26" x14ac:dyDescent="0.25">
      <c r="B277" s="64" t="s">
        <v>31</v>
      </c>
      <c r="C277" t="s">
        <v>1033</v>
      </c>
    </row>
    <row r="278" spans="1:26" x14ac:dyDescent="0.25">
      <c r="B278" s="64"/>
      <c r="C278" t="s">
        <v>1024</v>
      </c>
    </row>
    <row r="279" spans="1:26" x14ac:dyDescent="0.25">
      <c r="B279" s="64" t="s">
        <v>32</v>
      </c>
      <c r="C279" s="195" t="s">
        <v>731</v>
      </c>
    </row>
    <row r="280" spans="1:26" x14ac:dyDescent="0.25">
      <c r="B280" s="64" t="s">
        <v>331</v>
      </c>
      <c r="C280" t="s">
        <v>732</v>
      </c>
    </row>
    <row r="281" spans="1:26" x14ac:dyDescent="0.25">
      <c r="B281" s="64" t="s">
        <v>332</v>
      </c>
      <c r="C281" t="s">
        <v>1022</v>
      </c>
    </row>
    <row r="282" spans="1:26" s="34" customFormat="1" ht="15.75" thickBot="1" x14ac:dyDescent="0.3">
      <c r="B282" s="65" t="s">
        <v>334</v>
      </c>
      <c r="C282" s="34" t="s">
        <v>733</v>
      </c>
    </row>
    <row r="283" spans="1:26" ht="15.75" thickTop="1" x14ac:dyDescent="0.25">
      <c r="B283"/>
      <c r="C283" s="15" t="s">
        <v>723</v>
      </c>
      <c r="I283" s="59"/>
      <c r="J283" s="59"/>
      <c r="K283" s="59"/>
      <c r="L283" s="59"/>
      <c r="M283" s="59"/>
      <c r="N283" s="59"/>
      <c r="O283" s="59"/>
      <c r="P283" s="59"/>
      <c r="Q283" s="59"/>
      <c r="R283" s="59"/>
      <c r="S283" s="59"/>
      <c r="T283" s="59"/>
      <c r="U283" s="59"/>
      <c r="V283" s="59"/>
      <c r="W283" s="59"/>
      <c r="X283" s="59"/>
      <c r="Y283" s="59"/>
    </row>
    <row r="284" spans="1:26" x14ac:dyDescent="0.25">
      <c r="B284"/>
      <c r="D284" s="168" t="s">
        <v>722</v>
      </c>
      <c r="H284" t="s">
        <v>1031</v>
      </c>
      <c r="I284" s="167">
        <v>1613360</v>
      </c>
      <c r="J284" s="167">
        <v>1624315</v>
      </c>
      <c r="K284" s="167">
        <v>1645207</v>
      </c>
      <c r="L284" s="167">
        <v>1695254</v>
      </c>
      <c r="M284" s="167">
        <v>1761818</v>
      </c>
      <c r="N284" s="167">
        <v>1798927</v>
      </c>
      <c r="O284" s="167">
        <v>1818868</v>
      </c>
      <c r="P284" s="167">
        <v>1779076</v>
      </c>
      <c r="Q284" s="167">
        <v>1772319</v>
      </c>
      <c r="R284" s="167">
        <v>1734117</v>
      </c>
      <c r="S284" s="167">
        <v>1800844</v>
      </c>
      <c r="T284" s="167">
        <v>1845841</v>
      </c>
      <c r="U284" s="167">
        <v>1982448</v>
      </c>
      <c r="V284" s="167">
        <v>2027554</v>
      </c>
      <c r="W284" s="167">
        <v>2053838</v>
      </c>
      <c r="X284" s="167">
        <v>2125624</v>
      </c>
      <c r="Y284" s="167">
        <v>2193369</v>
      </c>
      <c r="Z284" s="167">
        <v>2250191</v>
      </c>
    </row>
    <row r="285" spans="1:26" x14ac:dyDescent="0.25">
      <c r="B285"/>
      <c r="D285" s="168" t="s">
        <v>721</v>
      </c>
      <c r="H285" s="118">
        <v>20.12</v>
      </c>
      <c r="I285" s="70">
        <v>89.747</v>
      </c>
      <c r="J285" s="70">
        <v>90.355999999999995</v>
      </c>
      <c r="K285" s="70">
        <v>91.518000000000001</v>
      </c>
      <c r="L285" s="70">
        <v>94.302000000000007</v>
      </c>
      <c r="M285" s="70">
        <v>98.004999999999995</v>
      </c>
      <c r="N285" s="70">
        <v>100.069</v>
      </c>
      <c r="O285" s="70">
        <v>101.179</v>
      </c>
      <c r="P285" s="70">
        <v>98.965000000000003</v>
      </c>
      <c r="Q285" s="70">
        <v>98.415999999999997</v>
      </c>
      <c r="R285" s="70">
        <v>96.295000000000002</v>
      </c>
      <c r="S285" s="70">
        <v>100</v>
      </c>
      <c r="T285" s="70">
        <v>102.499</v>
      </c>
      <c r="U285" s="70">
        <v>110.084</v>
      </c>
      <c r="V285" s="70">
        <v>112.589</v>
      </c>
      <c r="W285" s="70">
        <v>114.04900000000001</v>
      </c>
      <c r="X285" s="70">
        <v>118.035</v>
      </c>
      <c r="Y285" s="70">
        <v>121.797</v>
      </c>
      <c r="Z285" s="70">
        <v>124.952</v>
      </c>
    </row>
    <row r="286" spans="1:26" x14ac:dyDescent="0.25">
      <c r="B286"/>
      <c r="D286" s="168" t="s">
        <v>720</v>
      </c>
      <c r="H286" t="s">
        <v>1026</v>
      </c>
      <c r="I286" s="167">
        <v>1239791</v>
      </c>
      <c r="J286" s="167">
        <v>1277667</v>
      </c>
      <c r="K286" s="167">
        <v>1337904</v>
      </c>
      <c r="L286" s="167">
        <v>1433138</v>
      </c>
      <c r="M286" s="167">
        <v>1545230</v>
      </c>
      <c r="N286" s="167">
        <v>1642028</v>
      </c>
      <c r="O286" s="167">
        <v>1696741</v>
      </c>
      <c r="P286" s="167">
        <v>1674601</v>
      </c>
      <c r="Q286" s="167">
        <v>1681755</v>
      </c>
      <c r="R286" s="167">
        <v>1664883</v>
      </c>
      <c r="S286" s="167">
        <v>1800844</v>
      </c>
      <c r="T286" s="167">
        <v>1872018</v>
      </c>
      <c r="U286" s="167">
        <v>2046137</v>
      </c>
      <c r="V286" s="167">
        <v>2160023</v>
      </c>
      <c r="W286" s="167">
        <v>2255763</v>
      </c>
      <c r="X286" s="167">
        <v>2377610</v>
      </c>
      <c r="Y286" s="167">
        <v>2520444</v>
      </c>
      <c r="Z286" s="167">
        <v>2654134</v>
      </c>
    </row>
    <row r="287" spans="1:26" x14ac:dyDescent="0.25">
      <c r="B287" s="166"/>
      <c r="C287" s="13" t="s">
        <v>724</v>
      </c>
      <c r="D287" s="168"/>
      <c r="E287" s="168"/>
      <c r="H287" t="s">
        <v>1032</v>
      </c>
      <c r="I287" s="70">
        <v>3.7</v>
      </c>
      <c r="J287" s="70">
        <v>0.7</v>
      </c>
      <c r="K287" s="70">
        <v>1.3</v>
      </c>
      <c r="L287" s="70">
        <v>3</v>
      </c>
      <c r="M287" s="70">
        <v>3.9</v>
      </c>
      <c r="N287" s="70">
        <v>2.1</v>
      </c>
      <c r="O287" s="70">
        <v>1.1000000000000001</v>
      </c>
      <c r="P287" s="70">
        <v>-2.2000000000000002</v>
      </c>
      <c r="Q287" s="70">
        <v>-0.4</v>
      </c>
      <c r="R287" s="70">
        <v>-2.2000000000000002</v>
      </c>
      <c r="S287" s="70">
        <v>3.9</v>
      </c>
      <c r="T287" s="70">
        <v>2.5</v>
      </c>
      <c r="U287" s="70">
        <v>7.4</v>
      </c>
      <c r="V287" s="70">
        <v>2.2999999999999998</v>
      </c>
      <c r="W287" s="70">
        <v>1.3</v>
      </c>
      <c r="X287" s="70">
        <v>3.5</v>
      </c>
      <c r="Y287" s="70">
        <v>3.2</v>
      </c>
      <c r="Z287">
        <v>2.6</v>
      </c>
    </row>
    <row r="288" spans="1:26" x14ac:dyDescent="0.25">
      <c r="B288" s="168">
        <v>2</v>
      </c>
      <c r="D288" s="168" t="s">
        <v>708</v>
      </c>
      <c r="H288" t="s">
        <v>1032</v>
      </c>
      <c r="I288" s="70">
        <v>3.6</v>
      </c>
      <c r="J288" s="70">
        <v>7.0000000000000007E-2</v>
      </c>
      <c r="K288" s="70">
        <v>1.1599999999999999</v>
      </c>
      <c r="L288" s="70">
        <v>2.4900000000000002</v>
      </c>
      <c r="M288" s="70">
        <v>3.58</v>
      </c>
      <c r="N288" s="70">
        <v>2.08</v>
      </c>
      <c r="O288" s="70">
        <v>0.96</v>
      </c>
      <c r="P288" s="70">
        <v>-2.29</v>
      </c>
      <c r="Q288" s="70">
        <v>-0.42</v>
      </c>
      <c r="R288" s="70">
        <v>-2.16</v>
      </c>
      <c r="S288" s="70">
        <v>3.55</v>
      </c>
      <c r="T288" s="70">
        <v>2.1800000000000002</v>
      </c>
      <c r="U288" s="70">
        <v>7.03</v>
      </c>
      <c r="V288" s="70">
        <v>2.04</v>
      </c>
      <c r="W288" s="70">
        <v>0.86</v>
      </c>
      <c r="X288" s="70">
        <v>2.95</v>
      </c>
      <c r="Y288" s="70">
        <v>2.93</v>
      </c>
      <c r="Z288">
        <v>2.5099999999999998</v>
      </c>
    </row>
    <row r="289" spans="2:26" x14ac:dyDescent="0.25">
      <c r="B289" s="168">
        <v>3</v>
      </c>
      <c r="E289" s="168" t="s">
        <v>709</v>
      </c>
      <c r="H289" t="s">
        <v>1032</v>
      </c>
      <c r="I289" s="70">
        <v>-0.24</v>
      </c>
      <c r="J289" s="70">
        <v>0.46</v>
      </c>
      <c r="K289" s="70">
        <v>-1.1299999999999999</v>
      </c>
      <c r="L289" s="70">
        <v>-0.47</v>
      </c>
      <c r="M289" s="70">
        <v>1.01</v>
      </c>
      <c r="N289" s="70">
        <v>-0.84</v>
      </c>
      <c r="O289" s="70">
        <v>-0.65</v>
      </c>
      <c r="P289" s="70">
        <v>0.79</v>
      </c>
      <c r="Q289" s="70">
        <v>1</v>
      </c>
      <c r="R289" s="70">
        <v>-1.2</v>
      </c>
      <c r="S289" s="70">
        <v>-0.7</v>
      </c>
      <c r="T289" s="70">
        <v>0.18</v>
      </c>
      <c r="U289" s="70">
        <v>-0.05</v>
      </c>
      <c r="V289" s="70">
        <v>0.09</v>
      </c>
      <c r="W289" s="70">
        <v>0.19</v>
      </c>
      <c r="X289" s="70">
        <v>-0.12</v>
      </c>
      <c r="Y289" s="70">
        <v>-0.37</v>
      </c>
      <c r="Z289">
        <v>0</v>
      </c>
    </row>
    <row r="290" spans="2:26" x14ac:dyDescent="0.25">
      <c r="B290" s="168">
        <v>6</v>
      </c>
      <c r="E290" s="168" t="s">
        <v>710</v>
      </c>
      <c r="H290" t="s">
        <v>1032</v>
      </c>
      <c r="I290" s="70">
        <v>-0.01</v>
      </c>
      <c r="J290" s="70">
        <v>7.0000000000000007E-2</v>
      </c>
      <c r="K290" s="70">
        <v>0.22</v>
      </c>
      <c r="L290" s="70">
        <v>-0.31</v>
      </c>
      <c r="M290" s="70">
        <v>0.09</v>
      </c>
      <c r="N290" s="70">
        <v>7.0000000000000007E-2</v>
      </c>
      <c r="O290" s="70">
        <v>-0.18</v>
      </c>
      <c r="P290" s="70">
        <v>-0.05</v>
      </c>
      <c r="Q290" s="70">
        <v>-7.0000000000000007E-2</v>
      </c>
      <c r="R290" s="70">
        <v>-0.02</v>
      </c>
      <c r="S290" s="70">
        <v>0</v>
      </c>
      <c r="T290" s="70">
        <v>0.01</v>
      </c>
      <c r="U290" s="70">
        <v>0</v>
      </c>
      <c r="V290" s="70">
        <v>0.02</v>
      </c>
      <c r="W290" s="70">
        <v>0.13</v>
      </c>
      <c r="X290" s="70">
        <v>0.18</v>
      </c>
      <c r="Y290" s="70">
        <v>-0.12</v>
      </c>
      <c r="Z290">
        <v>1.01</v>
      </c>
    </row>
    <row r="291" spans="2:26" x14ac:dyDescent="0.25">
      <c r="B291" s="168">
        <v>10</v>
      </c>
      <c r="E291" s="168" t="s">
        <v>295</v>
      </c>
      <c r="H291" t="s">
        <v>1032</v>
      </c>
      <c r="I291" s="70">
        <v>0.01</v>
      </c>
      <c r="J291" s="70">
        <v>-0.02</v>
      </c>
      <c r="K291" s="70">
        <v>0</v>
      </c>
      <c r="L291" s="70">
        <v>0</v>
      </c>
      <c r="M291" s="70">
        <v>0.01</v>
      </c>
      <c r="N291" s="70">
        <v>0.01</v>
      </c>
      <c r="O291" s="70">
        <v>0.03</v>
      </c>
      <c r="P291" s="70">
        <v>-0.06</v>
      </c>
      <c r="Q291" s="70">
        <v>0.01</v>
      </c>
      <c r="R291" s="70">
        <v>0</v>
      </c>
      <c r="S291" s="70">
        <v>0.01</v>
      </c>
      <c r="T291" s="70">
        <v>0.01</v>
      </c>
      <c r="U291" s="70">
        <v>-0.02</v>
      </c>
      <c r="V291" s="70">
        <v>0</v>
      </c>
      <c r="W291" s="70">
        <v>0.01</v>
      </c>
      <c r="X291" s="70">
        <v>0.02</v>
      </c>
      <c r="Y291" s="70">
        <v>0</v>
      </c>
      <c r="Z291">
        <v>0.02</v>
      </c>
    </row>
    <row r="292" spans="2:26" x14ac:dyDescent="0.25">
      <c r="B292" s="168">
        <v>11</v>
      </c>
      <c r="E292" s="168" t="s">
        <v>296</v>
      </c>
      <c r="H292" t="s">
        <v>1032</v>
      </c>
      <c r="I292" s="70">
        <v>0.05</v>
      </c>
      <c r="J292" s="70">
        <v>-2.79</v>
      </c>
      <c r="K292" s="70">
        <v>-1.93</v>
      </c>
      <c r="L292" s="70">
        <v>-0.52</v>
      </c>
      <c r="M292" s="70">
        <v>0.83</v>
      </c>
      <c r="N292" s="70">
        <v>0.26</v>
      </c>
      <c r="O292" s="70">
        <v>0.22</v>
      </c>
      <c r="P292" s="70">
        <v>-1.52</v>
      </c>
      <c r="Q292" s="70">
        <v>-2.36</v>
      </c>
      <c r="R292" s="70">
        <v>-0.56999999999999995</v>
      </c>
      <c r="S292" s="70">
        <v>0.43</v>
      </c>
      <c r="T292" s="70">
        <v>0.62</v>
      </c>
      <c r="U292" s="70">
        <v>0.41</v>
      </c>
      <c r="V292" s="70">
        <v>0.51</v>
      </c>
      <c r="W292" s="70">
        <v>0.44</v>
      </c>
      <c r="X292" s="70">
        <v>0.85</v>
      </c>
      <c r="Y292" s="70">
        <v>-0.32</v>
      </c>
      <c r="Z292">
        <v>0.02</v>
      </c>
    </row>
    <row r="293" spans="2:26" x14ac:dyDescent="0.25">
      <c r="B293" s="168">
        <v>12</v>
      </c>
      <c r="E293" s="168" t="s">
        <v>297</v>
      </c>
      <c r="H293" t="s">
        <v>1032</v>
      </c>
      <c r="I293" s="70">
        <v>-0.39</v>
      </c>
      <c r="J293" s="70">
        <v>0.08</v>
      </c>
      <c r="K293" s="70">
        <v>-0.1</v>
      </c>
      <c r="L293" s="70">
        <v>-0.17</v>
      </c>
      <c r="M293" s="70">
        <v>-0.1</v>
      </c>
      <c r="N293" s="70">
        <v>-0.14000000000000001</v>
      </c>
      <c r="O293" s="70">
        <v>-0.01</v>
      </c>
      <c r="P293" s="70">
        <v>0.23</v>
      </c>
      <c r="Q293" s="70">
        <v>0.02</v>
      </c>
      <c r="R293" s="70">
        <v>0.1</v>
      </c>
      <c r="S293" s="70">
        <v>0.12</v>
      </c>
      <c r="T293" s="70">
        <v>-0.05</v>
      </c>
      <c r="U293" s="70">
        <v>0.21</v>
      </c>
      <c r="V293" s="70">
        <v>-0.04</v>
      </c>
      <c r="W293" s="70">
        <v>0.28000000000000003</v>
      </c>
      <c r="X293" s="70">
        <v>0.06</v>
      </c>
      <c r="Y293" s="70">
        <v>-0.21</v>
      </c>
      <c r="Z293">
        <v>0.02</v>
      </c>
    </row>
    <row r="294" spans="2:26" x14ac:dyDescent="0.25">
      <c r="B294" s="168">
        <v>13</v>
      </c>
      <c r="F294" s="168" t="s">
        <v>711</v>
      </c>
      <c r="H294" t="s">
        <v>1032</v>
      </c>
      <c r="I294" s="70">
        <v>-0.02</v>
      </c>
      <c r="J294" s="70">
        <v>-0.01</v>
      </c>
      <c r="K294" s="70">
        <v>0.04</v>
      </c>
      <c r="L294" s="70">
        <v>-0.04</v>
      </c>
      <c r="M294" s="70">
        <v>-0.03</v>
      </c>
      <c r="N294" s="70">
        <v>0.04</v>
      </c>
      <c r="O294" s="70">
        <v>0.02</v>
      </c>
      <c r="P294" s="70">
        <v>0.14000000000000001</v>
      </c>
      <c r="Q294" s="70">
        <v>0</v>
      </c>
      <c r="R294" s="70">
        <v>-0.01</v>
      </c>
      <c r="S294" s="70">
        <v>-0.03</v>
      </c>
      <c r="T294" s="70">
        <v>-0.01</v>
      </c>
      <c r="U294" s="70">
        <v>0.15</v>
      </c>
      <c r="V294" s="70">
        <v>-0.05</v>
      </c>
      <c r="W294" s="70">
        <v>-0.05</v>
      </c>
      <c r="X294" s="70">
        <v>0.04</v>
      </c>
      <c r="Y294" s="70">
        <v>0.14000000000000001</v>
      </c>
      <c r="Z294">
        <v>0.03</v>
      </c>
    </row>
    <row r="295" spans="2:26" x14ac:dyDescent="0.25">
      <c r="B295" s="168">
        <v>25</v>
      </c>
      <c r="F295" s="168" t="s">
        <v>712</v>
      </c>
      <c r="H295" t="s">
        <v>1032</v>
      </c>
      <c r="I295" s="70">
        <v>-0.37</v>
      </c>
      <c r="J295" s="70">
        <v>0.09</v>
      </c>
      <c r="K295" s="70">
        <v>-0.13</v>
      </c>
      <c r="L295" s="70">
        <v>-0.13</v>
      </c>
      <c r="M295" s="70">
        <v>-7.0000000000000007E-2</v>
      </c>
      <c r="N295" s="70">
        <v>-0.18</v>
      </c>
      <c r="O295" s="70">
        <v>-0.03</v>
      </c>
      <c r="P295" s="70">
        <v>0.09</v>
      </c>
      <c r="Q295" s="70">
        <v>0.02</v>
      </c>
      <c r="R295" s="70">
        <v>0.11</v>
      </c>
      <c r="S295" s="70">
        <v>0.14000000000000001</v>
      </c>
      <c r="T295" s="70">
        <v>-0.03</v>
      </c>
      <c r="U295" s="70">
        <v>7.0000000000000007E-2</v>
      </c>
      <c r="V295" s="70">
        <v>0.01</v>
      </c>
      <c r="W295" s="70">
        <v>0.33</v>
      </c>
      <c r="X295" s="70">
        <v>0.02</v>
      </c>
      <c r="Y295" s="70">
        <v>-0.35</v>
      </c>
      <c r="Z295">
        <v>-0.01</v>
      </c>
    </row>
    <row r="296" spans="2:26" x14ac:dyDescent="0.25">
      <c r="B296" s="168">
        <v>34</v>
      </c>
      <c r="E296" s="168" t="s">
        <v>298</v>
      </c>
      <c r="H296" t="s">
        <v>1032</v>
      </c>
      <c r="I296" s="70">
        <v>-0.06</v>
      </c>
      <c r="J296" s="70">
        <v>0.46</v>
      </c>
      <c r="K296" s="70">
        <v>0.16</v>
      </c>
      <c r="L296" s="70">
        <v>-0.18</v>
      </c>
      <c r="M296" s="70">
        <v>0.11</v>
      </c>
      <c r="N296" s="70">
        <v>0.13</v>
      </c>
      <c r="O296" s="70">
        <v>-0.38</v>
      </c>
      <c r="P296" s="70">
        <v>-0.54</v>
      </c>
      <c r="Q296" s="70">
        <v>0.8</v>
      </c>
      <c r="R296" s="70">
        <v>-0.25</v>
      </c>
      <c r="S296" s="70">
        <v>0.01</v>
      </c>
      <c r="T296" s="70">
        <v>0.26</v>
      </c>
      <c r="U296" s="70">
        <v>1.02</v>
      </c>
      <c r="V296" s="70">
        <v>-0.87</v>
      </c>
      <c r="W296" s="70">
        <v>-0.03</v>
      </c>
      <c r="X296" s="70">
        <v>-0.17</v>
      </c>
      <c r="Y296" s="70">
        <v>-0.04</v>
      </c>
      <c r="Z296">
        <v>-0.06</v>
      </c>
    </row>
    <row r="297" spans="2:26" x14ac:dyDescent="0.25">
      <c r="B297" s="168">
        <v>35</v>
      </c>
      <c r="E297" s="168" t="s">
        <v>299</v>
      </c>
      <c r="H297" t="s">
        <v>1032</v>
      </c>
      <c r="I297" s="70">
        <v>0.16</v>
      </c>
      <c r="J297" s="70">
        <v>0.06</v>
      </c>
      <c r="K297" s="70">
        <v>-0.22</v>
      </c>
      <c r="L297" s="70">
        <v>0.68</v>
      </c>
      <c r="M297" s="70">
        <v>0.56000000000000005</v>
      </c>
      <c r="N297" s="70">
        <v>0.31</v>
      </c>
      <c r="O297" s="70">
        <v>-0.04</v>
      </c>
      <c r="P297" s="70">
        <v>-0.8</v>
      </c>
      <c r="Q297" s="70">
        <v>-0.66</v>
      </c>
      <c r="R297" s="70">
        <v>0.05</v>
      </c>
      <c r="S297" s="70">
        <v>0.39</v>
      </c>
      <c r="T297" s="70">
        <v>0.6</v>
      </c>
      <c r="U297" s="70">
        <v>-0.09</v>
      </c>
      <c r="V297" s="70">
        <v>0.35</v>
      </c>
      <c r="W297" s="70">
        <v>0.21</v>
      </c>
      <c r="X297" s="70">
        <v>0.5</v>
      </c>
      <c r="Y297" s="70">
        <v>0.28000000000000003</v>
      </c>
      <c r="Z297">
        <v>0.28000000000000003</v>
      </c>
    </row>
    <row r="298" spans="2:26" x14ac:dyDescent="0.25">
      <c r="B298" s="168">
        <v>36</v>
      </c>
      <c r="E298" s="168" t="s">
        <v>300</v>
      </c>
      <c r="H298" t="s">
        <v>1032</v>
      </c>
      <c r="I298" s="70">
        <v>0.28999999999999998</v>
      </c>
      <c r="J298" s="70">
        <v>-0.1</v>
      </c>
      <c r="K298" s="70">
        <v>0.04</v>
      </c>
      <c r="L298" s="70">
        <v>0.33</v>
      </c>
      <c r="M298" s="70">
        <v>0.06</v>
      </c>
      <c r="N298" s="70">
        <v>0.02</v>
      </c>
      <c r="O298" s="70">
        <v>0.38</v>
      </c>
      <c r="P298" s="70">
        <v>0.36</v>
      </c>
      <c r="Q298" s="70">
        <v>0.51</v>
      </c>
      <c r="R298" s="70">
        <v>-0.3</v>
      </c>
      <c r="S298" s="70">
        <v>0.06</v>
      </c>
      <c r="T298" s="70">
        <v>-0.05</v>
      </c>
      <c r="U298" s="70">
        <v>0.56999999999999995</v>
      </c>
      <c r="V298" s="70">
        <v>2.0099999999999998</v>
      </c>
      <c r="W298" s="70">
        <v>-0.6</v>
      </c>
      <c r="X298" s="70">
        <v>0.9</v>
      </c>
      <c r="Y298" s="70">
        <v>-0.54</v>
      </c>
      <c r="Z298">
        <v>-0.31</v>
      </c>
    </row>
    <row r="299" spans="2:26" x14ac:dyDescent="0.25">
      <c r="B299" s="168">
        <v>45</v>
      </c>
      <c r="E299" s="168" t="s">
        <v>301</v>
      </c>
      <c r="H299" t="s">
        <v>1032</v>
      </c>
      <c r="I299" s="70">
        <v>0.83</v>
      </c>
      <c r="J299" s="70">
        <v>-0.11</v>
      </c>
      <c r="K299" s="70">
        <v>-0.08</v>
      </c>
      <c r="L299" s="70">
        <v>-0.01</v>
      </c>
      <c r="M299" s="70">
        <v>0.37</v>
      </c>
      <c r="N299" s="70">
        <v>0.42</v>
      </c>
      <c r="O299" s="70">
        <v>0.51</v>
      </c>
      <c r="P299" s="70">
        <v>0.62</v>
      </c>
      <c r="Q299" s="70">
        <v>0.1</v>
      </c>
      <c r="R299" s="70">
        <v>-0.13</v>
      </c>
      <c r="S299" s="70">
        <v>-0.36</v>
      </c>
      <c r="T299" s="70">
        <v>0.01</v>
      </c>
      <c r="U299" s="70">
        <v>-0.17</v>
      </c>
      <c r="V299" s="70">
        <v>0.25</v>
      </c>
      <c r="W299" s="70">
        <v>-0.18</v>
      </c>
      <c r="X299" s="70">
        <v>-0.12</v>
      </c>
      <c r="Y299" s="70">
        <v>0.34</v>
      </c>
      <c r="Z299">
        <v>0.12</v>
      </c>
    </row>
    <row r="300" spans="2:26" x14ac:dyDescent="0.25">
      <c r="B300" s="168">
        <v>50</v>
      </c>
      <c r="E300" s="168" t="s">
        <v>713</v>
      </c>
      <c r="H300" t="s">
        <v>1032</v>
      </c>
      <c r="I300" s="70">
        <v>0.35</v>
      </c>
      <c r="J300" s="70">
        <v>0.17</v>
      </c>
      <c r="K300" s="70">
        <v>1.45</v>
      </c>
      <c r="L300" s="70">
        <v>2.89</v>
      </c>
      <c r="M300" s="70">
        <v>-3.41</v>
      </c>
      <c r="N300" s="70">
        <v>0.92</v>
      </c>
      <c r="O300" s="70">
        <v>-0.72</v>
      </c>
      <c r="P300" s="70">
        <v>0.25</v>
      </c>
      <c r="Q300" s="70">
        <v>1.22</v>
      </c>
      <c r="R300" s="70">
        <v>-1.1599999999999999</v>
      </c>
      <c r="S300" s="70">
        <v>1.59</v>
      </c>
      <c r="T300" s="70">
        <v>-1.5</v>
      </c>
      <c r="U300" s="70">
        <v>2.4500000000000002</v>
      </c>
      <c r="V300" s="70">
        <v>-1.7</v>
      </c>
      <c r="W300" s="70">
        <v>0.31</v>
      </c>
      <c r="X300" s="70">
        <v>-0.89</v>
      </c>
      <c r="Y300" s="70">
        <v>3.25</v>
      </c>
      <c r="Z300">
        <v>0.14000000000000001</v>
      </c>
    </row>
    <row r="301" spans="2:26" x14ac:dyDescent="0.25">
      <c r="B301" s="168">
        <v>51</v>
      </c>
      <c r="F301" s="168" t="s">
        <v>302</v>
      </c>
      <c r="H301" t="s">
        <v>1032</v>
      </c>
      <c r="I301" s="70">
        <v>-0.72</v>
      </c>
      <c r="J301" s="70">
        <v>0.27</v>
      </c>
      <c r="K301" s="70">
        <v>-0.26</v>
      </c>
      <c r="L301" s="70">
        <v>0.35</v>
      </c>
      <c r="M301" s="70">
        <v>1.75</v>
      </c>
      <c r="N301" s="70">
        <v>0.39</v>
      </c>
      <c r="O301" s="70">
        <v>-0.6</v>
      </c>
      <c r="P301" s="70">
        <v>2.2000000000000002</v>
      </c>
      <c r="Q301" s="70">
        <v>0.63</v>
      </c>
      <c r="R301" s="70">
        <v>-1.49</v>
      </c>
      <c r="S301" s="70">
        <v>0.53</v>
      </c>
      <c r="T301" s="70">
        <v>-2.4500000000000002</v>
      </c>
      <c r="U301" s="70">
        <v>1.33</v>
      </c>
      <c r="V301" s="70">
        <v>-2.74</v>
      </c>
      <c r="W301" s="70">
        <v>-1.25</v>
      </c>
      <c r="X301" s="70">
        <v>-0.33</v>
      </c>
      <c r="Y301" s="70">
        <v>1.17</v>
      </c>
      <c r="Z301">
        <v>0.4</v>
      </c>
    </row>
    <row r="302" spans="2:26" x14ac:dyDescent="0.25">
      <c r="B302" s="168">
        <v>56</v>
      </c>
      <c r="F302" s="168" t="s">
        <v>303</v>
      </c>
      <c r="H302" t="s">
        <v>1032</v>
      </c>
      <c r="I302" s="70">
        <v>1.07</v>
      </c>
      <c r="J302" s="70">
        <v>-0.1</v>
      </c>
      <c r="K302" s="70">
        <v>1.72</v>
      </c>
      <c r="L302" s="70">
        <v>2.54</v>
      </c>
      <c r="M302" s="70">
        <v>-5.16</v>
      </c>
      <c r="N302" s="70">
        <v>0.53</v>
      </c>
      <c r="O302" s="70">
        <v>-0.12</v>
      </c>
      <c r="P302" s="70">
        <v>-1.95</v>
      </c>
      <c r="Q302" s="70">
        <v>0.59</v>
      </c>
      <c r="R302" s="70">
        <v>0.33</v>
      </c>
      <c r="S302" s="70">
        <v>1.06</v>
      </c>
      <c r="T302" s="70">
        <v>0.95</v>
      </c>
      <c r="U302" s="70">
        <v>1.1200000000000001</v>
      </c>
      <c r="V302" s="70">
        <v>1.04</v>
      </c>
      <c r="W302" s="70">
        <v>1.56</v>
      </c>
      <c r="X302" s="70">
        <v>-0.56000000000000005</v>
      </c>
      <c r="Y302" s="70">
        <v>2.08</v>
      </c>
      <c r="Z302">
        <v>-0.26</v>
      </c>
    </row>
    <row r="303" spans="2:26" x14ac:dyDescent="0.25">
      <c r="B303" s="168">
        <v>59</v>
      </c>
      <c r="E303" s="168" t="s">
        <v>714</v>
      </c>
      <c r="H303" t="s">
        <v>1032</v>
      </c>
      <c r="I303" s="70">
        <v>0.9</v>
      </c>
      <c r="J303" s="70">
        <v>-0.54</v>
      </c>
      <c r="K303" s="70">
        <v>-0.74</v>
      </c>
      <c r="L303" s="70">
        <v>-0.85</v>
      </c>
      <c r="M303" s="70">
        <v>1.1100000000000001</v>
      </c>
      <c r="N303" s="70">
        <v>-0.11</v>
      </c>
      <c r="O303" s="70">
        <v>1.57</v>
      </c>
      <c r="P303" s="70">
        <v>0.18</v>
      </c>
      <c r="Q303" s="70">
        <v>-0.68</v>
      </c>
      <c r="R303" s="70">
        <v>0.76</v>
      </c>
      <c r="S303" s="70">
        <v>0.56999999999999995</v>
      </c>
      <c r="T303" s="70">
        <v>1.42</v>
      </c>
      <c r="U303" s="70">
        <v>0.9</v>
      </c>
      <c r="V303" s="70">
        <v>0.34</v>
      </c>
      <c r="W303" s="70">
        <v>0.65</v>
      </c>
      <c r="X303" s="70">
        <v>0.76</v>
      </c>
      <c r="Y303" s="70">
        <v>0.92</v>
      </c>
      <c r="Z303">
        <v>0.97</v>
      </c>
    </row>
    <row r="304" spans="2:26" x14ac:dyDescent="0.25">
      <c r="B304" s="168">
        <v>60</v>
      </c>
      <c r="F304" s="168" t="s">
        <v>304</v>
      </c>
      <c r="H304" t="s">
        <v>1032</v>
      </c>
      <c r="I304" s="70">
        <v>0.56999999999999995</v>
      </c>
      <c r="J304" s="70">
        <v>-1.31</v>
      </c>
      <c r="K304" s="70">
        <v>-0.51</v>
      </c>
      <c r="L304" s="70">
        <v>-0.96</v>
      </c>
      <c r="M304" s="70">
        <v>0.33</v>
      </c>
      <c r="N304" s="70">
        <v>0.51</v>
      </c>
      <c r="O304" s="70">
        <v>0.98</v>
      </c>
      <c r="P304" s="70">
        <v>-0.75</v>
      </c>
      <c r="Q304" s="70">
        <v>-0.37</v>
      </c>
      <c r="R304" s="70">
        <v>0.48</v>
      </c>
      <c r="S304" s="70">
        <v>0.81</v>
      </c>
      <c r="T304" s="70">
        <v>0.25</v>
      </c>
      <c r="U304" s="70">
        <v>1.84</v>
      </c>
      <c r="V304" s="70">
        <v>-0.09</v>
      </c>
      <c r="W304" s="70">
        <v>0.36</v>
      </c>
      <c r="X304" s="70">
        <v>0.91</v>
      </c>
      <c r="Y304" s="70">
        <v>0.48</v>
      </c>
      <c r="Z304">
        <v>1.1599999999999999</v>
      </c>
    </row>
    <row r="305" spans="2:26" x14ac:dyDescent="0.25">
      <c r="B305" s="168">
        <v>64</v>
      </c>
      <c r="F305" s="168" t="s">
        <v>305</v>
      </c>
      <c r="H305" t="s">
        <v>1032</v>
      </c>
      <c r="I305" s="70">
        <v>0.25</v>
      </c>
      <c r="J305" s="70">
        <v>0.66</v>
      </c>
      <c r="K305" s="70">
        <v>-0.36</v>
      </c>
      <c r="L305" s="70">
        <v>0.3</v>
      </c>
      <c r="M305" s="70">
        <v>0.35</v>
      </c>
      <c r="N305" s="70">
        <v>-0.89</v>
      </c>
      <c r="O305" s="70">
        <v>0.06</v>
      </c>
      <c r="P305" s="70">
        <v>0.25</v>
      </c>
      <c r="Q305" s="70">
        <v>0.05</v>
      </c>
      <c r="R305" s="70">
        <v>0.16</v>
      </c>
      <c r="S305" s="70">
        <v>-0.54</v>
      </c>
      <c r="T305" s="70">
        <v>0.35</v>
      </c>
      <c r="U305" s="70">
        <v>-1.07</v>
      </c>
      <c r="V305" s="70">
        <v>0.1</v>
      </c>
      <c r="W305" s="70">
        <v>0.23</v>
      </c>
      <c r="X305" s="70">
        <v>-0.21</v>
      </c>
      <c r="Y305" s="70">
        <v>0.16</v>
      </c>
      <c r="Z305">
        <v>-0.18</v>
      </c>
    </row>
    <row r="306" spans="2:26" x14ac:dyDescent="0.25">
      <c r="B306" s="168">
        <v>65</v>
      </c>
      <c r="F306" s="168" t="s">
        <v>715</v>
      </c>
      <c r="H306" t="s">
        <v>1032</v>
      </c>
      <c r="I306" s="70">
        <v>0.09</v>
      </c>
      <c r="J306" s="70">
        <v>0.11</v>
      </c>
      <c r="K306" s="70">
        <v>0.14000000000000001</v>
      </c>
      <c r="L306" s="70">
        <v>-0.18</v>
      </c>
      <c r="M306" s="70">
        <v>0.43</v>
      </c>
      <c r="N306" s="70">
        <v>0.26</v>
      </c>
      <c r="O306" s="70">
        <v>0.53</v>
      </c>
      <c r="P306" s="70">
        <v>0.68</v>
      </c>
      <c r="Q306" s="70">
        <v>-0.35</v>
      </c>
      <c r="R306" s="70">
        <v>0.12</v>
      </c>
      <c r="S306" s="70">
        <v>0.28999999999999998</v>
      </c>
      <c r="T306" s="70">
        <v>0.83</v>
      </c>
      <c r="U306" s="70">
        <v>0.13</v>
      </c>
      <c r="V306" s="70">
        <v>0.32</v>
      </c>
      <c r="W306" s="70">
        <v>0.06</v>
      </c>
      <c r="X306" s="70">
        <v>7.0000000000000007E-2</v>
      </c>
      <c r="Y306" s="70">
        <v>0.27</v>
      </c>
      <c r="Z306">
        <v>0</v>
      </c>
    </row>
    <row r="307" spans="2:26" x14ac:dyDescent="0.25">
      <c r="B307" s="168">
        <v>68</v>
      </c>
      <c r="E307" s="168" t="s">
        <v>716</v>
      </c>
      <c r="H307" t="s">
        <v>1032</v>
      </c>
      <c r="I307" s="70">
        <v>0.31</v>
      </c>
      <c r="J307" s="70">
        <v>0.61</v>
      </c>
      <c r="K307" s="70">
        <v>0.87</v>
      </c>
      <c r="L307" s="70">
        <v>0.49</v>
      </c>
      <c r="M307" s="70">
        <v>-0.53</v>
      </c>
      <c r="N307" s="70">
        <v>7.0000000000000007E-2</v>
      </c>
      <c r="O307" s="70">
        <v>0.41</v>
      </c>
      <c r="P307" s="70">
        <v>0</v>
      </c>
      <c r="Q307" s="70">
        <v>0.17</v>
      </c>
      <c r="R307" s="70">
        <v>-0.11</v>
      </c>
      <c r="S307" s="70">
        <v>7.0000000000000007E-2</v>
      </c>
      <c r="T307" s="70">
        <v>0.17</v>
      </c>
      <c r="U307" s="70">
        <v>0.01</v>
      </c>
      <c r="V307" s="70">
        <v>0.1</v>
      </c>
      <c r="W307" s="70">
        <v>0.25</v>
      </c>
      <c r="X307" s="70">
        <v>0.06</v>
      </c>
      <c r="Y307" s="70">
        <v>0.06</v>
      </c>
      <c r="Z307">
        <v>0.15</v>
      </c>
    </row>
    <row r="308" spans="2:26" x14ac:dyDescent="0.25">
      <c r="B308" s="168">
        <v>69</v>
      </c>
      <c r="F308" s="168" t="s">
        <v>307</v>
      </c>
      <c r="H308" t="s">
        <v>1032</v>
      </c>
      <c r="I308" s="70">
        <v>0.04</v>
      </c>
      <c r="J308" s="70">
        <v>0.03</v>
      </c>
      <c r="K308" s="70">
        <v>0.1</v>
      </c>
      <c r="L308" s="70">
        <v>0</v>
      </c>
      <c r="M308" s="70">
        <v>0.01</v>
      </c>
      <c r="N308" s="70">
        <v>-0.05</v>
      </c>
      <c r="O308" s="70">
        <v>0.06</v>
      </c>
      <c r="P308" s="70">
        <v>0.04</v>
      </c>
      <c r="Q308" s="70">
        <v>0.06</v>
      </c>
      <c r="R308" s="70">
        <v>0.02</v>
      </c>
      <c r="S308" s="70">
        <v>-0.02</v>
      </c>
      <c r="T308" s="70">
        <v>0.11</v>
      </c>
      <c r="U308" s="70">
        <v>0.02</v>
      </c>
      <c r="V308" s="70">
        <v>0.02</v>
      </c>
      <c r="W308" s="70">
        <v>7.0000000000000007E-2</v>
      </c>
      <c r="X308" s="70">
        <v>0.05</v>
      </c>
      <c r="Y308" s="70">
        <v>0.04</v>
      </c>
      <c r="Z308">
        <v>0.08</v>
      </c>
    </row>
    <row r="309" spans="2:26" x14ac:dyDescent="0.25">
      <c r="B309" s="168">
        <v>70</v>
      </c>
      <c r="F309" s="168" t="s">
        <v>308</v>
      </c>
      <c r="H309" t="s">
        <v>1032</v>
      </c>
      <c r="I309" s="70">
        <v>0.28000000000000003</v>
      </c>
      <c r="J309" s="70">
        <v>0.57999999999999996</v>
      </c>
      <c r="K309" s="70">
        <v>0.77</v>
      </c>
      <c r="L309" s="70">
        <v>0.48</v>
      </c>
      <c r="M309" s="70">
        <v>-0.54</v>
      </c>
      <c r="N309" s="70">
        <v>0.12</v>
      </c>
      <c r="O309" s="70">
        <v>0.36</v>
      </c>
      <c r="P309" s="70">
        <v>-0.04</v>
      </c>
      <c r="Q309" s="70">
        <v>0.1</v>
      </c>
      <c r="R309" s="70">
        <v>-0.13</v>
      </c>
      <c r="S309" s="70">
        <v>0.09</v>
      </c>
      <c r="T309" s="70">
        <v>0.06</v>
      </c>
      <c r="U309" s="70">
        <v>-0.01</v>
      </c>
      <c r="V309" s="70">
        <v>0.08</v>
      </c>
      <c r="W309" s="70">
        <v>0.18</v>
      </c>
      <c r="X309" s="70">
        <v>0.01</v>
      </c>
      <c r="Y309" s="70">
        <v>0.03</v>
      </c>
      <c r="Z309">
        <v>0.08</v>
      </c>
    </row>
    <row r="310" spans="2:26" x14ac:dyDescent="0.25">
      <c r="B310" s="168">
        <v>75</v>
      </c>
      <c r="E310" s="168" t="s">
        <v>717</v>
      </c>
      <c r="H310" t="s">
        <v>1032</v>
      </c>
      <c r="I310" s="70">
        <v>1.36</v>
      </c>
      <c r="J310" s="70">
        <v>1.76</v>
      </c>
      <c r="K310" s="70">
        <v>2.7</v>
      </c>
      <c r="L310" s="70">
        <v>0.36</v>
      </c>
      <c r="M310" s="70">
        <v>2.99</v>
      </c>
      <c r="N310" s="70">
        <v>0.38</v>
      </c>
      <c r="O310" s="70">
        <v>0.22</v>
      </c>
      <c r="P310" s="70">
        <v>-1.38</v>
      </c>
      <c r="Q310" s="70">
        <v>0.39</v>
      </c>
      <c r="R310" s="70">
        <v>0.76</v>
      </c>
      <c r="S310" s="70">
        <v>1.21</v>
      </c>
      <c r="T310" s="70">
        <v>0.52</v>
      </c>
      <c r="U310" s="70">
        <v>1.65</v>
      </c>
      <c r="V310" s="70">
        <v>0.93</v>
      </c>
      <c r="W310" s="70">
        <v>-1.05</v>
      </c>
      <c r="X310" s="70">
        <v>0.88</v>
      </c>
      <c r="Y310" s="70">
        <v>-0.35</v>
      </c>
      <c r="Z310">
        <v>0.12</v>
      </c>
    </row>
    <row r="311" spans="2:26" x14ac:dyDescent="0.25">
      <c r="B311" s="168">
        <v>76</v>
      </c>
      <c r="F311" s="168" t="s">
        <v>309</v>
      </c>
      <c r="H311" t="s">
        <v>1032</v>
      </c>
      <c r="I311" s="70">
        <v>-1.67</v>
      </c>
      <c r="J311" s="70">
        <v>0.41</v>
      </c>
      <c r="K311" s="70">
        <v>0.47</v>
      </c>
      <c r="L311" s="70">
        <v>0.33</v>
      </c>
      <c r="M311" s="70">
        <v>0.56000000000000005</v>
      </c>
      <c r="N311" s="70">
        <v>0.53</v>
      </c>
      <c r="O311" s="70">
        <v>0.05</v>
      </c>
      <c r="P311" s="70">
        <v>-0.34</v>
      </c>
      <c r="Q311" s="70">
        <v>0.56999999999999995</v>
      </c>
      <c r="R311" s="70">
        <v>0.2</v>
      </c>
      <c r="S311" s="70">
        <v>0.49</v>
      </c>
      <c r="T311" s="70">
        <v>0.02</v>
      </c>
      <c r="U311" s="70">
        <v>1.1200000000000001</v>
      </c>
      <c r="V311" s="70">
        <v>-1.02</v>
      </c>
      <c r="W311" s="70">
        <v>-0.6</v>
      </c>
      <c r="X311" s="70">
        <v>-0.19</v>
      </c>
      <c r="Y311" s="70">
        <v>0.32</v>
      </c>
      <c r="Z311">
        <v>0.15</v>
      </c>
    </row>
    <row r="312" spans="2:26" x14ac:dyDescent="0.25">
      <c r="B312" s="168">
        <v>79</v>
      </c>
      <c r="F312" s="168" t="s">
        <v>310</v>
      </c>
      <c r="H312" t="s">
        <v>1032</v>
      </c>
      <c r="I312" s="70">
        <v>3.02</v>
      </c>
      <c r="J312" s="70">
        <v>1.35</v>
      </c>
      <c r="K312" s="70">
        <v>2.23</v>
      </c>
      <c r="L312" s="70">
        <v>0.03</v>
      </c>
      <c r="M312" s="70">
        <v>2.4300000000000002</v>
      </c>
      <c r="N312" s="70">
        <v>-0.16</v>
      </c>
      <c r="O312" s="70">
        <v>0.16</v>
      </c>
      <c r="P312" s="70">
        <v>-1.04</v>
      </c>
      <c r="Q312" s="70">
        <v>-0.19</v>
      </c>
      <c r="R312" s="70">
        <v>0.56000000000000005</v>
      </c>
      <c r="S312" s="70">
        <v>0.72</v>
      </c>
      <c r="T312" s="70">
        <v>0.5</v>
      </c>
      <c r="U312" s="70">
        <v>0.53</v>
      </c>
      <c r="V312" s="70">
        <v>1.95</v>
      </c>
      <c r="W312" s="70">
        <v>-0.44</v>
      </c>
      <c r="X312" s="70">
        <v>1.06</v>
      </c>
      <c r="Y312" s="70">
        <v>-0.67</v>
      </c>
      <c r="Z312">
        <v>-0.04</v>
      </c>
    </row>
    <row r="313" spans="2:26" x14ac:dyDescent="0.25">
      <c r="B313" s="168">
        <v>82</v>
      </c>
      <c r="E313" s="168" t="s">
        <v>718</v>
      </c>
      <c r="H313" t="s">
        <v>1032</v>
      </c>
      <c r="I313" s="70">
        <v>0.05</v>
      </c>
      <c r="J313" s="70">
        <v>-0.06</v>
      </c>
      <c r="K313" s="70">
        <v>-0.09</v>
      </c>
      <c r="L313" s="70">
        <v>0.26</v>
      </c>
      <c r="M313" s="70">
        <v>0.48</v>
      </c>
      <c r="N313" s="70">
        <v>0.6</v>
      </c>
      <c r="O313" s="70">
        <v>-0.41</v>
      </c>
      <c r="P313" s="70">
        <v>-0.38</v>
      </c>
      <c r="Q313" s="70">
        <v>-0.87</v>
      </c>
      <c r="R313" s="70">
        <v>-0.08</v>
      </c>
      <c r="S313" s="70">
        <v>0.16</v>
      </c>
      <c r="T313" s="70">
        <v>-0.04</v>
      </c>
      <c r="U313" s="70">
        <v>0.12</v>
      </c>
      <c r="V313" s="70">
        <v>0.06</v>
      </c>
      <c r="W313" s="70">
        <v>0.25</v>
      </c>
      <c r="X313" s="70">
        <v>0.04</v>
      </c>
      <c r="Y313" s="70">
        <v>0.03</v>
      </c>
      <c r="Z313">
        <v>0.03</v>
      </c>
    </row>
    <row r="314" spans="2:26" x14ac:dyDescent="0.25">
      <c r="B314" s="168">
        <v>83</v>
      </c>
      <c r="D314" s="168" t="s">
        <v>285</v>
      </c>
      <c r="H314" t="s">
        <v>1032</v>
      </c>
      <c r="I314" s="70">
        <v>0.13</v>
      </c>
      <c r="J314" s="70">
        <v>0.61</v>
      </c>
      <c r="K314" s="70">
        <v>0.13</v>
      </c>
      <c r="L314" s="70">
        <v>0.56000000000000005</v>
      </c>
      <c r="M314" s="70">
        <v>0.34</v>
      </c>
      <c r="N314" s="70">
        <v>0.03</v>
      </c>
      <c r="O314" s="70">
        <v>0.15</v>
      </c>
      <c r="P314" s="70">
        <v>0.1</v>
      </c>
      <c r="Q314" s="70">
        <v>0.03</v>
      </c>
      <c r="R314" s="70">
        <v>0.01</v>
      </c>
      <c r="S314" s="70">
        <v>0.3</v>
      </c>
      <c r="T314" s="70">
        <v>0.32</v>
      </c>
      <c r="U314" s="70">
        <v>0.37</v>
      </c>
      <c r="V314" s="70">
        <v>0.23</v>
      </c>
      <c r="W314" s="70">
        <v>0.43</v>
      </c>
      <c r="X314" s="70">
        <v>0.55000000000000004</v>
      </c>
      <c r="Y314" s="70">
        <v>0.26</v>
      </c>
      <c r="Z314">
        <v>0.08</v>
      </c>
    </row>
    <row r="315" spans="2:26" x14ac:dyDescent="0.25">
      <c r="B315" s="166"/>
      <c r="C315" s="166" t="s">
        <v>719</v>
      </c>
      <c r="D315" s="166"/>
      <c r="I315" s="70"/>
      <c r="J315" s="70"/>
      <c r="K315" s="70"/>
      <c r="L315" s="70"/>
      <c r="M315" s="70"/>
      <c r="N315" s="70"/>
      <c r="O315" s="70"/>
      <c r="P315" s="70"/>
      <c r="Q315" s="70"/>
      <c r="R315" s="70"/>
      <c r="S315" s="70"/>
      <c r="T315" s="70"/>
      <c r="U315" s="70"/>
      <c r="V315" s="70"/>
      <c r="W315" s="70"/>
      <c r="X315" s="70"/>
      <c r="Y315" s="70"/>
    </row>
    <row r="316" spans="2:26" x14ac:dyDescent="0.25">
      <c r="B316" s="168">
        <v>87</v>
      </c>
      <c r="E316" s="168" t="s">
        <v>729</v>
      </c>
      <c r="H316" t="s">
        <v>1032</v>
      </c>
      <c r="I316" s="70">
        <v>-0.25</v>
      </c>
      <c r="J316" s="70">
        <v>0.53</v>
      </c>
      <c r="K316" s="70">
        <v>-0.92</v>
      </c>
      <c r="L316" s="70">
        <v>-0.78</v>
      </c>
      <c r="M316" s="70">
        <v>1.1000000000000001</v>
      </c>
      <c r="N316" s="70">
        <v>-0.78</v>
      </c>
      <c r="O316" s="70">
        <v>-0.83</v>
      </c>
      <c r="P316" s="70">
        <v>0.73</v>
      </c>
      <c r="Q316" s="70">
        <v>0.93</v>
      </c>
      <c r="R316" s="70">
        <v>-1.22</v>
      </c>
      <c r="S316" s="70">
        <v>-0.69</v>
      </c>
      <c r="T316" s="70">
        <v>0.19</v>
      </c>
      <c r="U316" s="70">
        <v>-0.05</v>
      </c>
      <c r="V316" s="70">
        <v>0.11</v>
      </c>
      <c r="W316" s="70">
        <v>0.32</v>
      </c>
      <c r="X316" s="70">
        <v>0.06</v>
      </c>
      <c r="Y316" s="70">
        <v>-0.49</v>
      </c>
      <c r="Z316">
        <v>1.01</v>
      </c>
    </row>
    <row r="317" spans="2:26" x14ac:dyDescent="0.25">
      <c r="B317" s="168">
        <v>88</v>
      </c>
      <c r="E317" s="168" t="s">
        <v>730</v>
      </c>
      <c r="H317" t="s">
        <v>1032</v>
      </c>
      <c r="I317" s="70">
        <v>0.1</v>
      </c>
      <c r="J317" s="70">
        <v>0.51</v>
      </c>
      <c r="K317" s="70">
        <v>-0.06</v>
      </c>
      <c r="L317" s="70">
        <v>0.5</v>
      </c>
      <c r="M317" s="70">
        <v>0.67</v>
      </c>
      <c r="N317" s="70">
        <v>0.44</v>
      </c>
      <c r="O317" s="70">
        <v>-0.42</v>
      </c>
      <c r="P317" s="70">
        <v>-1.34</v>
      </c>
      <c r="Q317" s="70">
        <v>0.14000000000000001</v>
      </c>
      <c r="R317" s="70">
        <v>-0.2</v>
      </c>
      <c r="S317" s="70">
        <v>0.4</v>
      </c>
      <c r="T317" s="70">
        <v>0.87</v>
      </c>
      <c r="U317" s="70">
        <v>0.93</v>
      </c>
      <c r="V317" s="70">
        <v>-0.53</v>
      </c>
      <c r="W317" s="70">
        <v>0.17</v>
      </c>
      <c r="X317" s="70">
        <v>0.32</v>
      </c>
      <c r="Y317" s="70">
        <v>0.23</v>
      </c>
      <c r="Z317">
        <v>0.22</v>
      </c>
    </row>
    <row r="318" spans="2:26" x14ac:dyDescent="0.25">
      <c r="B318" s="168">
        <v>89</v>
      </c>
      <c r="E318" s="168" t="s">
        <v>728</v>
      </c>
      <c r="H318" t="s">
        <v>1032</v>
      </c>
      <c r="I318" s="70">
        <v>0.3</v>
      </c>
      <c r="J318" s="70">
        <v>-0.12</v>
      </c>
      <c r="K318" s="70">
        <v>0.04</v>
      </c>
      <c r="L318" s="70">
        <v>0.33</v>
      </c>
      <c r="M318" s="70">
        <v>7.0000000000000007E-2</v>
      </c>
      <c r="N318" s="70">
        <v>0.03</v>
      </c>
      <c r="O318" s="70">
        <v>0.42</v>
      </c>
      <c r="P318" s="70">
        <v>0.3</v>
      </c>
      <c r="Q318" s="70">
        <v>0.51</v>
      </c>
      <c r="R318" s="70">
        <v>-0.28999999999999998</v>
      </c>
      <c r="S318" s="70">
        <v>0.06</v>
      </c>
      <c r="T318" s="70">
        <v>-0.03</v>
      </c>
      <c r="U318" s="70">
        <v>0.56000000000000005</v>
      </c>
      <c r="V318" s="70">
        <v>2.0099999999999998</v>
      </c>
      <c r="W318" s="70">
        <v>-0.59</v>
      </c>
      <c r="X318" s="70">
        <v>0.92</v>
      </c>
      <c r="Y318" s="70">
        <v>-0.54</v>
      </c>
      <c r="Z318">
        <v>-0.28999999999999998</v>
      </c>
    </row>
    <row r="319" spans="2:26" x14ac:dyDescent="0.25">
      <c r="B319" s="168">
        <v>90</v>
      </c>
      <c r="E319" s="168" t="s">
        <v>727</v>
      </c>
      <c r="H319" t="s">
        <v>1032</v>
      </c>
      <c r="I319" s="70">
        <v>0.44</v>
      </c>
      <c r="J319" s="70">
        <v>-0.02</v>
      </c>
      <c r="K319" s="70">
        <v>-0.18</v>
      </c>
      <c r="L319" s="70">
        <v>-0.18</v>
      </c>
      <c r="M319" s="70">
        <v>0.27</v>
      </c>
      <c r="N319" s="70">
        <v>0.28000000000000003</v>
      </c>
      <c r="O319" s="70">
        <v>0.5</v>
      </c>
      <c r="P319" s="70">
        <v>0.85</v>
      </c>
      <c r="Q319" s="70">
        <v>0.12</v>
      </c>
      <c r="R319" s="70">
        <v>-0.04</v>
      </c>
      <c r="S319" s="70">
        <v>-0.24</v>
      </c>
      <c r="T319" s="70">
        <v>-0.03</v>
      </c>
      <c r="U319" s="70">
        <v>0.05</v>
      </c>
      <c r="V319" s="70">
        <v>0.2</v>
      </c>
      <c r="W319" s="70">
        <v>0.1</v>
      </c>
      <c r="X319" s="70">
        <v>-0.06</v>
      </c>
      <c r="Y319" s="70">
        <v>0.13</v>
      </c>
      <c r="Z319">
        <v>0.14000000000000001</v>
      </c>
    </row>
    <row r="320" spans="2:26" x14ac:dyDescent="0.25">
      <c r="B320" s="168">
        <v>91</v>
      </c>
      <c r="E320" s="168" t="s">
        <v>725</v>
      </c>
      <c r="H320" t="s">
        <v>1032</v>
      </c>
      <c r="I320" s="70">
        <v>-0.59</v>
      </c>
      <c r="J320" s="70">
        <v>-2.17</v>
      </c>
      <c r="K320" s="70">
        <v>-2.94</v>
      </c>
      <c r="L320" s="70">
        <v>-1.47</v>
      </c>
      <c r="M320" s="70">
        <v>1.84</v>
      </c>
      <c r="N320" s="70">
        <v>-0.65</v>
      </c>
      <c r="O320" s="70">
        <v>-0.62</v>
      </c>
      <c r="P320" s="70">
        <v>-0.56000000000000005</v>
      </c>
      <c r="Q320" s="70">
        <v>-1.41</v>
      </c>
      <c r="R320" s="70">
        <v>-1.7</v>
      </c>
      <c r="S320" s="70">
        <v>-0.14000000000000001</v>
      </c>
      <c r="T320" s="70">
        <v>0.77</v>
      </c>
      <c r="U320" s="70">
        <v>0.57999999999999996</v>
      </c>
      <c r="V320" s="70">
        <v>0.57999999999999996</v>
      </c>
      <c r="W320" s="70">
        <v>1.04</v>
      </c>
      <c r="X320" s="70">
        <v>0.98</v>
      </c>
      <c r="Y320" s="70">
        <v>-1.02</v>
      </c>
      <c r="Z320">
        <v>1.05</v>
      </c>
    </row>
    <row r="321" spans="1:37" x14ac:dyDescent="0.25">
      <c r="B321" s="168">
        <v>92</v>
      </c>
      <c r="E321" s="168" t="s">
        <v>726</v>
      </c>
      <c r="H321" t="s">
        <v>1032</v>
      </c>
      <c r="I321" s="70">
        <v>4.2</v>
      </c>
      <c r="J321" s="70">
        <v>2.2400000000000002</v>
      </c>
      <c r="K321" s="70">
        <v>4.0999999999999996</v>
      </c>
      <c r="L321" s="70">
        <v>3.96</v>
      </c>
      <c r="M321" s="70">
        <v>1.75</v>
      </c>
      <c r="N321" s="70">
        <v>2.73</v>
      </c>
      <c r="O321" s="70">
        <v>1.58</v>
      </c>
      <c r="P321" s="70">
        <v>-1.73</v>
      </c>
      <c r="Q321" s="70">
        <v>0.99</v>
      </c>
      <c r="R321" s="70">
        <v>-0.46</v>
      </c>
      <c r="S321" s="70">
        <v>3.69</v>
      </c>
      <c r="T321" s="70">
        <v>1.41</v>
      </c>
      <c r="U321" s="70">
        <v>6.46</v>
      </c>
      <c r="V321" s="70">
        <v>1.46</v>
      </c>
      <c r="W321" s="70">
        <v>-0.18</v>
      </c>
      <c r="X321" s="70">
        <v>1.97</v>
      </c>
      <c r="Y321" s="70">
        <v>3.95</v>
      </c>
      <c r="Z321">
        <v>1.46</v>
      </c>
    </row>
    <row r="322" spans="1:37" s="3" customFormat="1" x14ac:dyDescent="0.25">
      <c r="B322" s="4"/>
    </row>
    <row r="323" spans="1:37" s="37" customFormat="1" ht="17.25" x14ac:dyDescent="0.3">
      <c r="A323" s="37" t="s">
        <v>782</v>
      </c>
    </row>
    <row r="324" spans="1:37" x14ac:dyDescent="0.25">
      <c r="B324" s="64" t="s">
        <v>31</v>
      </c>
      <c r="C324" t="s">
        <v>1530</v>
      </c>
    </row>
    <row r="325" spans="1:37" x14ac:dyDescent="0.25">
      <c r="B325" s="64"/>
      <c r="C325" s="284" t="s">
        <v>1024</v>
      </c>
    </row>
    <row r="326" spans="1:37" x14ac:dyDescent="0.25">
      <c r="B326" s="64" t="s">
        <v>32</v>
      </c>
      <c r="C326" s="195" t="s">
        <v>1347</v>
      </c>
    </row>
    <row r="327" spans="1:37" s="223" customFormat="1" x14ac:dyDescent="0.25">
      <c r="B327" s="64"/>
      <c r="C327" s="195" t="s">
        <v>326</v>
      </c>
    </row>
    <row r="328" spans="1:37" x14ac:dyDescent="0.25">
      <c r="B328" s="64" t="s">
        <v>331</v>
      </c>
      <c r="C328" t="s">
        <v>779</v>
      </c>
    </row>
    <row r="329" spans="1:37" x14ac:dyDescent="0.25">
      <c r="B329" s="64" t="s">
        <v>332</v>
      </c>
      <c r="C329" t="s">
        <v>1022</v>
      </c>
    </row>
    <row r="330" spans="1:37" x14ac:dyDescent="0.25">
      <c r="B330" s="64" t="s">
        <v>334</v>
      </c>
      <c r="C330" t="s">
        <v>1023</v>
      </c>
    </row>
    <row r="331" spans="1:37" s="34" customFormat="1" ht="15.75" thickBot="1" x14ac:dyDescent="0.3">
      <c r="B331" s="65"/>
      <c r="C331" s="34" t="s">
        <v>1028</v>
      </c>
    </row>
    <row r="332" spans="1:37" ht="15.75" thickTop="1" x14ac:dyDescent="0.25">
      <c r="B332" s="168" t="s">
        <v>291</v>
      </c>
      <c r="C332" s="169" t="s">
        <v>735</v>
      </c>
      <c r="I332" s="59"/>
      <c r="J332" s="59"/>
      <c r="K332" s="59"/>
      <c r="L332" s="59"/>
      <c r="M332" s="59"/>
      <c r="N332" s="59"/>
      <c r="O332" s="59"/>
      <c r="P332" s="59"/>
      <c r="Q332" s="59"/>
      <c r="R332" s="59"/>
      <c r="S332" s="59"/>
      <c r="T332" s="59"/>
      <c r="U332" s="59"/>
      <c r="V332" s="59"/>
      <c r="W332" s="59"/>
      <c r="X332" s="59"/>
      <c r="Y332" s="59"/>
    </row>
    <row r="333" spans="1:37" x14ac:dyDescent="0.25">
      <c r="B333" s="168" t="s">
        <v>746</v>
      </c>
      <c r="D333" s="168" t="s">
        <v>734</v>
      </c>
      <c r="H333" t="s">
        <v>1026</v>
      </c>
      <c r="I333" s="167">
        <v>1500221</v>
      </c>
      <c r="J333" s="167">
        <v>1654553</v>
      </c>
      <c r="K333" s="167">
        <v>1986961</v>
      </c>
      <c r="L333" s="167">
        <v>2344220</v>
      </c>
      <c r="M333" s="167">
        <v>3031241</v>
      </c>
      <c r="N333" s="167">
        <v>3303729</v>
      </c>
      <c r="O333" s="167">
        <v>3276079</v>
      </c>
      <c r="P333" s="167">
        <v>2717108</v>
      </c>
      <c r="Q333" s="167">
        <v>3024099</v>
      </c>
      <c r="R333" s="167">
        <v>3233263</v>
      </c>
      <c r="S333" s="167">
        <v>4174883</v>
      </c>
      <c r="T333" s="167">
        <v>3927393</v>
      </c>
      <c r="U333" s="167">
        <v>4558798</v>
      </c>
      <c r="V333" s="167">
        <v>4536902</v>
      </c>
      <c r="W333" s="167">
        <v>4782554</v>
      </c>
      <c r="X333" s="167">
        <v>5318359</v>
      </c>
      <c r="Y333" s="167">
        <v>5355156</v>
      </c>
      <c r="Z333" s="167">
        <v>5392611</v>
      </c>
      <c r="AA333" s="167"/>
      <c r="AB333" s="167"/>
      <c r="AC333" s="167"/>
      <c r="AD333" s="167"/>
      <c r="AE333" s="167"/>
      <c r="AF333" s="167"/>
      <c r="AG333" s="167"/>
      <c r="AH333" s="167"/>
      <c r="AI333" s="167"/>
      <c r="AJ333" s="167"/>
      <c r="AK333" s="167"/>
    </row>
    <row r="334" spans="1:37" x14ac:dyDescent="0.25">
      <c r="B334" s="168" t="s">
        <v>747</v>
      </c>
      <c r="E334" s="168" t="s">
        <v>769</v>
      </c>
      <c r="H334" t="s">
        <v>1026</v>
      </c>
      <c r="I334" s="167">
        <v>1497282</v>
      </c>
      <c r="J334" s="167">
        <v>1649910</v>
      </c>
      <c r="K334" s="167">
        <v>1983289</v>
      </c>
      <c r="L334" s="167">
        <v>2340682</v>
      </c>
      <c r="M334" s="167">
        <v>3027973</v>
      </c>
      <c r="N334" s="167">
        <v>3299152</v>
      </c>
      <c r="O334" s="167">
        <v>3273110</v>
      </c>
      <c r="P334" s="167">
        <v>2713705</v>
      </c>
      <c r="Q334" s="167">
        <v>3020980</v>
      </c>
      <c r="R334" s="167">
        <v>3225480</v>
      </c>
      <c r="S334" s="167">
        <v>4172985</v>
      </c>
      <c r="T334" s="167">
        <v>3923338</v>
      </c>
      <c r="U334" s="167">
        <v>4552797</v>
      </c>
      <c r="V334" s="167">
        <v>4531317</v>
      </c>
      <c r="W334" s="167">
        <v>4776245</v>
      </c>
      <c r="X334" s="167">
        <v>5311244</v>
      </c>
      <c r="Y334" s="167">
        <v>5350580</v>
      </c>
      <c r="Z334" s="167">
        <v>5389541</v>
      </c>
      <c r="AA334" s="167"/>
      <c r="AB334" s="167"/>
      <c r="AC334" s="167"/>
      <c r="AD334" s="167"/>
      <c r="AE334" s="167"/>
      <c r="AF334" s="167"/>
      <c r="AG334" s="167"/>
      <c r="AH334" s="167"/>
      <c r="AI334" s="167"/>
      <c r="AJ334" s="167"/>
      <c r="AK334" s="167"/>
    </row>
    <row r="335" spans="1:37" x14ac:dyDescent="0.25">
      <c r="B335" s="168" t="s">
        <v>748</v>
      </c>
      <c r="E335" s="168" t="s">
        <v>770</v>
      </c>
      <c r="H335" t="s">
        <v>1026</v>
      </c>
      <c r="I335" s="167">
        <v>2939</v>
      </c>
      <c r="J335" s="167">
        <v>4643</v>
      </c>
      <c r="K335" s="167">
        <v>3672</v>
      </c>
      <c r="L335" s="167">
        <v>3538</v>
      </c>
      <c r="M335" s="167">
        <v>3268</v>
      </c>
      <c r="N335" s="167">
        <v>4577</v>
      </c>
      <c r="O335" s="167">
        <v>2969</v>
      </c>
      <c r="P335" s="167">
        <v>3403</v>
      </c>
      <c r="Q335" s="167">
        <v>3119</v>
      </c>
      <c r="R335" s="167">
        <v>7783</v>
      </c>
      <c r="S335" s="167">
        <v>1898</v>
      </c>
      <c r="T335" s="167">
        <v>4055</v>
      </c>
      <c r="U335" s="167">
        <v>6001</v>
      </c>
      <c r="V335" s="167">
        <v>5585</v>
      </c>
      <c r="W335" s="167">
        <v>6309</v>
      </c>
      <c r="X335" s="167">
        <v>7115</v>
      </c>
      <c r="Y335" s="167">
        <v>4576</v>
      </c>
      <c r="Z335" s="167">
        <v>3070</v>
      </c>
      <c r="AA335" s="167"/>
      <c r="AB335" s="167"/>
      <c r="AC335" s="167"/>
      <c r="AD335" s="167"/>
      <c r="AE335" s="167"/>
      <c r="AF335" s="167"/>
      <c r="AG335" s="167"/>
      <c r="AH335" s="167"/>
      <c r="AI335" s="167"/>
      <c r="AJ335" s="167"/>
      <c r="AK335" s="167"/>
    </row>
    <row r="336" spans="1:37" x14ac:dyDescent="0.25">
      <c r="B336" s="168" t="s">
        <v>749</v>
      </c>
      <c r="D336" s="168" t="s">
        <v>771</v>
      </c>
      <c r="H336" t="s">
        <v>1025</v>
      </c>
      <c r="I336" s="167">
        <v>18837</v>
      </c>
      <c r="J336" s="167">
        <v>19066</v>
      </c>
      <c r="K336" s="167">
        <v>19467</v>
      </c>
      <c r="L336" s="167">
        <v>19632</v>
      </c>
      <c r="M336" s="167">
        <v>20014</v>
      </c>
      <c r="N336" s="167">
        <v>20472</v>
      </c>
      <c r="O336" s="167">
        <v>20988</v>
      </c>
      <c r="P336" s="167">
        <v>21232</v>
      </c>
      <c r="Q336" s="167">
        <v>21296</v>
      </c>
      <c r="R336" s="167">
        <v>21414</v>
      </c>
      <c r="S336" s="167">
        <v>21624</v>
      </c>
      <c r="T336" s="167">
        <v>22315</v>
      </c>
      <c r="U336" s="167">
        <v>22773</v>
      </c>
      <c r="V336" s="167">
        <v>23047</v>
      </c>
      <c r="W336" s="167">
        <v>23234</v>
      </c>
      <c r="X336" s="167">
        <v>23384</v>
      </c>
      <c r="Y336" s="167">
        <v>23269</v>
      </c>
      <c r="Z336" s="167">
        <v>23464</v>
      </c>
      <c r="AA336" s="167"/>
      <c r="AB336" s="167"/>
      <c r="AC336" s="167"/>
      <c r="AD336" s="167"/>
      <c r="AE336" s="167"/>
      <c r="AF336" s="167"/>
      <c r="AG336" s="167"/>
      <c r="AH336" s="167"/>
      <c r="AI336" s="167"/>
      <c r="AJ336" s="167"/>
      <c r="AK336" s="167"/>
    </row>
    <row r="337" spans="2:37" x14ac:dyDescent="0.25">
      <c r="B337" s="168" t="s">
        <v>750</v>
      </c>
      <c r="D337" s="168" t="s">
        <v>1531</v>
      </c>
      <c r="H337" t="s">
        <v>1027</v>
      </c>
      <c r="I337" s="167">
        <v>79642</v>
      </c>
      <c r="J337" s="167">
        <v>86780</v>
      </c>
      <c r="K337" s="167">
        <v>102068</v>
      </c>
      <c r="L337" s="167">
        <v>119408</v>
      </c>
      <c r="M337" s="167">
        <v>151456</v>
      </c>
      <c r="N337" s="167">
        <v>161378</v>
      </c>
      <c r="O337" s="167">
        <v>156093</v>
      </c>
      <c r="P337" s="167">
        <v>127972</v>
      </c>
      <c r="Q337" s="167">
        <v>142003</v>
      </c>
      <c r="R337" s="167">
        <v>150988</v>
      </c>
      <c r="S337" s="167">
        <v>193067</v>
      </c>
      <c r="T337" s="167">
        <v>175998</v>
      </c>
      <c r="U337" s="167">
        <v>200184</v>
      </c>
      <c r="V337" s="167">
        <v>196854</v>
      </c>
      <c r="W337" s="167">
        <v>205843</v>
      </c>
      <c r="X337" s="167">
        <v>227436</v>
      </c>
      <c r="Y337" s="167">
        <v>230141</v>
      </c>
      <c r="Z337" s="167">
        <v>229825</v>
      </c>
      <c r="AA337" s="167"/>
      <c r="AB337" s="167"/>
      <c r="AC337" s="167"/>
      <c r="AD337" s="167"/>
      <c r="AE337" s="167"/>
      <c r="AF337" s="167"/>
      <c r="AG337" s="167"/>
      <c r="AH337" s="167"/>
      <c r="AI337" s="167"/>
      <c r="AJ337" s="167"/>
      <c r="AK337" s="167"/>
    </row>
    <row r="338" spans="2:37" x14ac:dyDescent="0.25">
      <c r="B338" s="168" t="s">
        <v>291</v>
      </c>
      <c r="C338" s="169" t="s">
        <v>736</v>
      </c>
      <c r="I338" s="167"/>
      <c r="J338" s="167"/>
      <c r="K338" s="167"/>
      <c r="L338" s="167"/>
      <c r="M338" s="167"/>
      <c r="N338" s="167"/>
      <c r="O338" s="167"/>
      <c r="P338" s="167"/>
      <c r="Q338" s="167"/>
      <c r="R338" s="167"/>
      <c r="S338" s="167"/>
      <c r="T338" s="167"/>
      <c r="U338" s="167"/>
      <c r="V338" s="167"/>
      <c r="W338" s="167"/>
      <c r="X338" s="167"/>
      <c r="Y338" s="167"/>
      <c r="Z338" s="167"/>
      <c r="AA338" s="167"/>
      <c r="AB338" s="167"/>
      <c r="AC338" s="167"/>
      <c r="AD338" s="167"/>
      <c r="AE338" s="167"/>
      <c r="AF338" s="167"/>
      <c r="AG338" s="167"/>
      <c r="AH338" s="167"/>
      <c r="AI338" s="167"/>
      <c r="AJ338" s="167"/>
      <c r="AK338" s="167"/>
    </row>
    <row r="339" spans="2:37" x14ac:dyDescent="0.25">
      <c r="B339" s="168" t="s">
        <v>751</v>
      </c>
      <c r="E339" s="168" t="s">
        <v>737</v>
      </c>
      <c r="H339" t="s">
        <v>1026</v>
      </c>
      <c r="I339" s="167">
        <v>802645</v>
      </c>
      <c r="J339" s="167">
        <v>823519</v>
      </c>
      <c r="K339" s="167">
        <v>801961</v>
      </c>
      <c r="L339" s="167">
        <v>749704</v>
      </c>
      <c r="M339" s="167">
        <v>808887</v>
      </c>
      <c r="N339" s="167">
        <v>881403</v>
      </c>
      <c r="O339" s="167">
        <v>951883</v>
      </c>
      <c r="P339" s="167">
        <v>1272461</v>
      </c>
      <c r="Q339" s="167">
        <v>1268470</v>
      </c>
      <c r="R339" s="167">
        <v>1073253</v>
      </c>
      <c r="S339" s="167">
        <v>1125229</v>
      </c>
      <c r="T339" s="167">
        <v>1169916</v>
      </c>
      <c r="U339" s="167">
        <v>1278584</v>
      </c>
      <c r="V339" s="167">
        <v>1380192</v>
      </c>
      <c r="W339" s="167">
        <v>1485562</v>
      </c>
      <c r="X339" s="167">
        <v>1596744</v>
      </c>
      <c r="Y339" s="167">
        <v>1687827</v>
      </c>
      <c r="Z339" s="167">
        <v>1807589</v>
      </c>
      <c r="AA339" s="167"/>
      <c r="AB339" s="167"/>
      <c r="AC339" s="167"/>
      <c r="AD339" s="167"/>
      <c r="AE339" s="167"/>
      <c r="AF339" s="167"/>
      <c r="AG339" s="167"/>
      <c r="AH339" s="167"/>
      <c r="AI339" s="167"/>
      <c r="AJ339" s="167"/>
      <c r="AK339" s="167"/>
    </row>
    <row r="340" spans="2:37" x14ac:dyDescent="0.25">
      <c r="B340" s="168" t="s">
        <v>752</v>
      </c>
      <c r="E340" s="168" t="s">
        <v>772</v>
      </c>
      <c r="H340" t="s">
        <v>1026</v>
      </c>
      <c r="I340" s="167">
        <v>86620</v>
      </c>
      <c r="J340" s="167">
        <v>90841</v>
      </c>
      <c r="K340" s="167">
        <v>96602</v>
      </c>
      <c r="L340" s="167">
        <v>101908</v>
      </c>
      <c r="M340" s="167">
        <v>127231</v>
      </c>
      <c r="N340" s="167">
        <v>138855</v>
      </c>
      <c r="O340" s="167">
        <v>140899</v>
      </c>
      <c r="P340" s="167">
        <v>142198</v>
      </c>
      <c r="Q340" s="167">
        <v>135516</v>
      </c>
      <c r="R340" s="167">
        <v>121845</v>
      </c>
      <c r="S340" s="167">
        <v>131421</v>
      </c>
      <c r="T340" s="167">
        <v>152086</v>
      </c>
      <c r="U340" s="167">
        <v>167351</v>
      </c>
      <c r="V340" s="167">
        <v>175567</v>
      </c>
      <c r="W340" s="167">
        <v>187582</v>
      </c>
      <c r="X340" s="167">
        <v>196852</v>
      </c>
      <c r="Y340" s="167">
        <v>202361</v>
      </c>
      <c r="Z340" s="167">
        <v>210945</v>
      </c>
      <c r="AA340" s="167"/>
      <c r="AB340" s="167"/>
      <c r="AC340" s="167"/>
      <c r="AD340" s="167"/>
      <c r="AE340" s="167"/>
      <c r="AF340" s="167"/>
      <c r="AG340" s="167"/>
      <c r="AH340" s="167"/>
      <c r="AI340" s="167"/>
      <c r="AJ340" s="167"/>
      <c r="AK340" s="167"/>
    </row>
    <row r="341" spans="2:37" x14ac:dyDescent="0.25">
      <c r="B341" s="168" t="s">
        <v>753</v>
      </c>
      <c r="F341" s="168" t="s">
        <v>775</v>
      </c>
      <c r="H341" t="s">
        <v>1026</v>
      </c>
      <c r="I341" s="167">
        <v>46204</v>
      </c>
      <c r="J341" s="167">
        <v>48939</v>
      </c>
      <c r="K341" s="167">
        <v>52059</v>
      </c>
      <c r="L341" s="167">
        <v>53316</v>
      </c>
      <c r="M341" s="167">
        <v>58194</v>
      </c>
      <c r="N341" s="167">
        <v>60376</v>
      </c>
      <c r="O341" s="167">
        <v>60858</v>
      </c>
      <c r="P341" s="167">
        <v>67135</v>
      </c>
      <c r="Q341" s="167">
        <v>64034</v>
      </c>
      <c r="R341" s="167">
        <v>45485</v>
      </c>
      <c r="S341" s="167">
        <v>46850</v>
      </c>
      <c r="T341" s="167">
        <v>63975</v>
      </c>
      <c r="U341" s="167">
        <v>71533</v>
      </c>
      <c r="V341" s="167">
        <v>76762</v>
      </c>
      <c r="W341" s="167">
        <v>84213</v>
      </c>
      <c r="X341" s="167">
        <v>90777</v>
      </c>
      <c r="Y341" s="167">
        <v>95510</v>
      </c>
      <c r="Z341" s="167">
        <v>102222</v>
      </c>
      <c r="AA341" s="167"/>
      <c r="AB341" s="167"/>
      <c r="AC341" s="167"/>
      <c r="AD341" s="167"/>
      <c r="AE341" s="167"/>
      <c r="AF341" s="167"/>
      <c r="AG341" s="167"/>
      <c r="AH341" s="167"/>
      <c r="AI341" s="167"/>
      <c r="AJ341" s="167"/>
      <c r="AK341" s="167"/>
    </row>
    <row r="342" spans="2:37" x14ac:dyDescent="0.25">
      <c r="B342" s="168" t="s">
        <v>754</v>
      </c>
      <c r="F342" s="168" t="s">
        <v>776</v>
      </c>
      <c r="H342" t="s">
        <v>1026</v>
      </c>
      <c r="I342" s="167">
        <v>40416</v>
      </c>
      <c r="J342" s="167">
        <v>41902</v>
      </c>
      <c r="K342" s="167">
        <v>44543</v>
      </c>
      <c r="L342" s="167">
        <v>48592</v>
      </c>
      <c r="M342" s="167">
        <v>69037</v>
      </c>
      <c r="N342" s="167">
        <v>78479</v>
      </c>
      <c r="O342" s="167">
        <v>80041</v>
      </c>
      <c r="P342" s="167">
        <v>75063</v>
      </c>
      <c r="Q342" s="167">
        <v>71482</v>
      </c>
      <c r="R342" s="167">
        <v>76360</v>
      </c>
      <c r="S342" s="167">
        <v>84571</v>
      </c>
      <c r="T342" s="167">
        <v>88111</v>
      </c>
      <c r="U342" s="167">
        <v>95818</v>
      </c>
      <c r="V342" s="167">
        <v>98805</v>
      </c>
      <c r="W342" s="167">
        <v>103369</v>
      </c>
      <c r="X342" s="167">
        <v>106075</v>
      </c>
      <c r="Y342" s="167">
        <v>106851</v>
      </c>
      <c r="Z342" s="167">
        <v>108723</v>
      </c>
      <c r="AA342" s="167"/>
      <c r="AB342" s="167"/>
      <c r="AC342" s="167"/>
      <c r="AD342" s="167"/>
      <c r="AE342" s="167"/>
      <c r="AF342" s="167"/>
      <c r="AG342" s="167"/>
      <c r="AH342" s="167"/>
      <c r="AI342" s="167"/>
      <c r="AJ342" s="167"/>
      <c r="AK342" s="167"/>
    </row>
    <row r="343" spans="2:37" x14ac:dyDescent="0.25">
      <c r="B343" s="168" t="s">
        <v>755</v>
      </c>
      <c r="E343" s="168" t="s">
        <v>773</v>
      </c>
      <c r="H343" t="s">
        <v>1026</v>
      </c>
      <c r="I343" s="167">
        <v>-86402</v>
      </c>
      <c r="J343" s="167">
        <v>-90923</v>
      </c>
      <c r="K343" s="167">
        <v>-87200</v>
      </c>
      <c r="L343" s="167">
        <v>-98008</v>
      </c>
      <c r="M343" s="167">
        <v>-108441</v>
      </c>
      <c r="N343" s="167">
        <v>-105850</v>
      </c>
      <c r="O343" s="167">
        <v>-110232</v>
      </c>
      <c r="P343" s="167">
        <v>-93377</v>
      </c>
      <c r="Q343" s="167">
        <v>-78046</v>
      </c>
      <c r="R343" s="167">
        <v>-61186</v>
      </c>
      <c r="S343" s="167">
        <v>-87624</v>
      </c>
      <c r="T343" s="167">
        <v>-55396</v>
      </c>
      <c r="U343" s="167">
        <v>-62429</v>
      </c>
      <c r="V343" s="167">
        <v>-72841</v>
      </c>
      <c r="W343" s="167">
        <v>-114494</v>
      </c>
      <c r="X343" s="167">
        <v>-111299</v>
      </c>
      <c r="Y343" s="167">
        <v>-108087</v>
      </c>
      <c r="Z343" s="167">
        <v>-136051</v>
      </c>
      <c r="AA343" s="167"/>
      <c r="AB343" s="167"/>
      <c r="AC343" s="167"/>
      <c r="AD343" s="167"/>
      <c r="AE343" s="167"/>
      <c r="AF343" s="167"/>
      <c r="AG343" s="167"/>
      <c r="AH343" s="167"/>
      <c r="AI343" s="167"/>
      <c r="AJ343" s="167"/>
      <c r="AK343" s="167"/>
    </row>
    <row r="344" spans="2:37" x14ac:dyDescent="0.25">
      <c r="B344" s="168" t="s">
        <v>756</v>
      </c>
      <c r="D344" s="168" t="s">
        <v>738</v>
      </c>
      <c r="H344" t="s">
        <v>1026</v>
      </c>
      <c r="I344" s="167">
        <v>629623</v>
      </c>
      <c r="J344" s="167">
        <v>641755</v>
      </c>
      <c r="K344" s="167">
        <v>618159</v>
      </c>
      <c r="L344" s="167">
        <v>549788</v>
      </c>
      <c r="M344" s="167">
        <v>573215</v>
      </c>
      <c r="N344" s="167">
        <v>636698</v>
      </c>
      <c r="O344" s="167">
        <v>700752</v>
      </c>
      <c r="P344" s="167">
        <v>1036886</v>
      </c>
      <c r="Q344" s="167">
        <v>1054908</v>
      </c>
      <c r="R344" s="167">
        <v>890222</v>
      </c>
      <c r="S344" s="167">
        <v>906184</v>
      </c>
      <c r="T344" s="167">
        <v>962434</v>
      </c>
      <c r="U344" s="167">
        <v>1048804</v>
      </c>
      <c r="V344" s="167">
        <v>1131784</v>
      </c>
      <c r="W344" s="167">
        <v>1183486</v>
      </c>
      <c r="X344" s="167">
        <v>1288593</v>
      </c>
      <c r="Y344" s="167">
        <v>1377379</v>
      </c>
      <c r="Z344" s="167">
        <v>1460593</v>
      </c>
      <c r="AA344" s="167"/>
      <c r="AB344" s="167"/>
      <c r="AC344" s="167"/>
      <c r="AD344" s="167"/>
      <c r="AE344" s="167"/>
      <c r="AF344" s="167"/>
      <c r="AG344" s="167"/>
      <c r="AH344" s="167"/>
      <c r="AI344" s="167"/>
      <c r="AJ344" s="167"/>
      <c r="AK344" s="167"/>
    </row>
    <row r="345" spans="2:37" x14ac:dyDescent="0.25">
      <c r="B345" s="168" t="s">
        <v>757</v>
      </c>
      <c r="D345" s="168" t="s">
        <v>774</v>
      </c>
      <c r="H345" t="s">
        <v>1026</v>
      </c>
      <c r="I345" s="167">
        <v>823707</v>
      </c>
      <c r="J345" s="167">
        <v>962070</v>
      </c>
      <c r="K345" s="167">
        <v>1316411</v>
      </c>
      <c r="L345" s="167">
        <v>1737679</v>
      </c>
      <c r="M345" s="167">
        <v>2398170</v>
      </c>
      <c r="N345" s="167">
        <v>2603201</v>
      </c>
      <c r="O345" s="167">
        <v>2496117</v>
      </c>
      <c r="P345" s="167">
        <v>1590837</v>
      </c>
      <c r="Q345" s="167">
        <v>1869649</v>
      </c>
      <c r="R345" s="167">
        <v>2241750</v>
      </c>
      <c r="S345" s="167">
        <v>3167522</v>
      </c>
      <c r="T345" s="167">
        <v>2859388</v>
      </c>
      <c r="U345" s="167">
        <v>3397637</v>
      </c>
      <c r="V345" s="167">
        <v>3287554</v>
      </c>
      <c r="W345" s="167">
        <v>3476203</v>
      </c>
      <c r="X345" s="167">
        <v>3900493</v>
      </c>
      <c r="Y345" s="167">
        <v>3840372</v>
      </c>
      <c r="Z345" s="167">
        <v>3787359</v>
      </c>
      <c r="AA345" s="167"/>
      <c r="AB345" s="167"/>
      <c r="AC345" s="167"/>
      <c r="AD345" s="167"/>
      <c r="AE345" s="167"/>
      <c r="AF345" s="167"/>
      <c r="AG345" s="167"/>
      <c r="AH345" s="167"/>
      <c r="AI345" s="167"/>
      <c r="AJ345" s="167"/>
      <c r="AK345" s="167"/>
    </row>
    <row r="346" spans="2:37" x14ac:dyDescent="0.25">
      <c r="B346" s="168" t="s">
        <v>758</v>
      </c>
      <c r="D346" s="168" t="s">
        <v>739</v>
      </c>
      <c r="H346" t="s">
        <v>1026</v>
      </c>
      <c r="I346" s="167">
        <v>46891</v>
      </c>
      <c r="J346" s="167">
        <v>50728</v>
      </c>
      <c r="K346" s="167">
        <v>52391</v>
      </c>
      <c r="L346" s="167">
        <v>56753</v>
      </c>
      <c r="M346" s="167">
        <v>59856</v>
      </c>
      <c r="N346" s="167">
        <v>63830</v>
      </c>
      <c r="O346" s="167">
        <v>79210</v>
      </c>
      <c r="P346" s="167">
        <v>89385</v>
      </c>
      <c r="Q346" s="167">
        <v>99542</v>
      </c>
      <c r="R346" s="167">
        <v>101291</v>
      </c>
      <c r="S346" s="167">
        <v>101177</v>
      </c>
      <c r="T346" s="167">
        <v>105571</v>
      </c>
      <c r="U346" s="167">
        <v>112357</v>
      </c>
      <c r="V346" s="167">
        <v>117564</v>
      </c>
      <c r="W346" s="167">
        <v>122865</v>
      </c>
      <c r="X346" s="167">
        <v>129273</v>
      </c>
      <c r="Y346" s="167">
        <v>137405</v>
      </c>
      <c r="Z346" s="167">
        <v>144659</v>
      </c>
      <c r="AA346" s="167"/>
      <c r="AB346" s="167"/>
      <c r="AC346" s="167"/>
      <c r="AD346" s="167"/>
      <c r="AE346" s="167"/>
      <c r="AF346" s="167"/>
      <c r="AG346" s="167"/>
      <c r="AH346" s="167"/>
      <c r="AI346" s="167"/>
      <c r="AJ346" s="167"/>
      <c r="AK346" s="167"/>
    </row>
    <row r="347" spans="2:37" x14ac:dyDescent="0.25">
      <c r="B347" s="168" t="s">
        <v>291</v>
      </c>
      <c r="C347" s="169" t="s">
        <v>740</v>
      </c>
      <c r="I347" s="167" t="s">
        <v>291</v>
      </c>
      <c r="J347" s="167" t="s">
        <v>291</v>
      </c>
      <c r="K347" s="167" t="s">
        <v>291</v>
      </c>
      <c r="L347" s="167" t="s">
        <v>291</v>
      </c>
      <c r="M347" s="167" t="s">
        <v>291</v>
      </c>
      <c r="N347" s="167" t="s">
        <v>291</v>
      </c>
      <c r="O347" s="167" t="s">
        <v>291</v>
      </c>
      <c r="P347" s="167" t="s">
        <v>291</v>
      </c>
      <c r="Q347" s="167"/>
      <c r="R347" s="167"/>
      <c r="S347" s="167"/>
      <c r="T347" s="167"/>
      <c r="U347" s="167"/>
      <c r="V347" s="167"/>
      <c r="W347" s="167"/>
      <c r="X347" s="167"/>
      <c r="Y347" s="167"/>
      <c r="Z347" s="167"/>
      <c r="AA347" s="167"/>
      <c r="AB347" s="167"/>
      <c r="AC347" s="167"/>
      <c r="AD347" s="167"/>
      <c r="AE347" s="167"/>
      <c r="AF347" s="167"/>
      <c r="AG347" s="167"/>
      <c r="AH347" s="167"/>
      <c r="AI347" s="167"/>
      <c r="AJ347" s="167"/>
      <c r="AK347" s="167"/>
    </row>
    <row r="348" spans="2:37" x14ac:dyDescent="0.25">
      <c r="B348" s="168" t="s">
        <v>759</v>
      </c>
      <c r="D348" s="168" t="s">
        <v>741</v>
      </c>
      <c r="H348" t="s">
        <v>1026</v>
      </c>
      <c r="I348" s="167">
        <v>531332</v>
      </c>
      <c r="J348" s="167">
        <v>551741</v>
      </c>
      <c r="K348" s="167">
        <v>574130</v>
      </c>
      <c r="L348" s="167">
        <v>613994</v>
      </c>
      <c r="M348" s="167">
        <v>684000</v>
      </c>
      <c r="N348" s="167">
        <v>736672</v>
      </c>
      <c r="O348" s="167">
        <v>797046</v>
      </c>
      <c r="P348" s="167">
        <v>715824</v>
      </c>
      <c r="Q348" s="167">
        <v>696557</v>
      </c>
      <c r="R348" s="167">
        <v>715554</v>
      </c>
      <c r="S348" s="167">
        <v>761791</v>
      </c>
      <c r="T348" s="167">
        <v>801054</v>
      </c>
      <c r="U348" s="167">
        <v>872555</v>
      </c>
      <c r="V348" s="167">
        <v>908524</v>
      </c>
      <c r="W348" s="167">
        <v>976721</v>
      </c>
      <c r="X348" s="167">
        <v>1037314</v>
      </c>
      <c r="Y348" s="167">
        <v>1104979</v>
      </c>
      <c r="Z348" s="167">
        <v>1204450</v>
      </c>
      <c r="AA348" s="167"/>
      <c r="AB348" s="167"/>
      <c r="AC348" s="167"/>
      <c r="AD348" s="167"/>
      <c r="AE348" s="167"/>
      <c r="AF348" s="167"/>
      <c r="AG348" s="167"/>
      <c r="AH348" s="167"/>
      <c r="AI348" s="167"/>
      <c r="AJ348" s="167"/>
      <c r="AK348" s="167"/>
    </row>
    <row r="349" spans="2:37" x14ac:dyDescent="0.25">
      <c r="B349" s="168" t="s">
        <v>760</v>
      </c>
      <c r="D349" s="168" t="s">
        <v>742</v>
      </c>
      <c r="H349" t="s">
        <v>1026</v>
      </c>
      <c r="I349" s="167">
        <v>99714</v>
      </c>
      <c r="J349" s="167">
        <v>104728</v>
      </c>
      <c r="K349" s="167">
        <v>109399</v>
      </c>
      <c r="L349" s="167">
        <v>118024</v>
      </c>
      <c r="M349" s="167">
        <v>144412</v>
      </c>
      <c r="N349" s="167">
        <v>162446</v>
      </c>
      <c r="O349" s="167">
        <v>169617</v>
      </c>
      <c r="P349" s="167">
        <v>153916</v>
      </c>
      <c r="Q349" s="167">
        <v>149466</v>
      </c>
      <c r="R349" s="167">
        <v>155431</v>
      </c>
      <c r="S349" s="167">
        <v>168685</v>
      </c>
      <c r="T349" s="167">
        <v>186638</v>
      </c>
      <c r="U349" s="167">
        <v>200592</v>
      </c>
      <c r="V349" s="167">
        <v>210679</v>
      </c>
      <c r="W349" s="167">
        <v>219136</v>
      </c>
      <c r="X349" s="167">
        <v>231113</v>
      </c>
      <c r="Y349" s="167">
        <v>241275</v>
      </c>
      <c r="Z349" s="167">
        <v>246982</v>
      </c>
      <c r="AA349" s="167"/>
      <c r="AB349" s="167"/>
      <c r="AC349" s="167"/>
      <c r="AD349" s="167"/>
      <c r="AE349" s="167"/>
      <c r="AF349" s="167"/>
      <c r="AG349" s="167"/>
      <c r="AH349" s="167"/>
      <c r="AI349" s="167"/>
      <c r="AJ349" s="167"/>
      <c r="AK349" s="167"/>
    </row>
    <row r="350" spans="2:37" x14ac:dyDescent="0.25">
      <c r="B350" s="168" t="s">
        <v>761</v>
      </c>
      <c r="E350" s="168" t="s">
        <v>777</v>
      </c>
      <c r="H350" t="s">
        <v>1026</v>
      </c>
      <c r="I350" s="167">
        <v>59298</v>
      </c>
      <c r="J350" s="167">
        <v>62826</v>
      </c>
      <c r="K350" s="167">
        <v>64856</v>
      </c>
      <c r="L350" s="167">
        <v>69432</v>
      </c>
      <c r="M350" s="167">
        <v>75375</v>
      </c>
      <c r="N350" s="167">
        <v>83967</v>
      </c>
      <c r="O350" s="167">
        <v>89576</v>
      </c>
      <c r="P350" s="167">
        <v>78853</v>
      </c>
      <c r="Q350" s="167">
        <v>77984</v>
      </c>
      <c r="R350" s="167">
        <v>79071</v>
      </c>
      <c r="S350" s="167">
        <v>84114</v>
      </c>
      <c r="T350" s="167">
        <v>98527</v>
      </c>
      <c r="U350" s="167">
        <v>104774</v>
      </c>
      <c r="V350" s="167">
        <v>111874</v>
      </c>
      <c r="W350" s="167">
        <v>115767</v>
      </c>
      <c r="X350" s="167">
        <v>125038</v>
      </c>
      <c r="Y350" s="167">
        <v>134424</v>
      </c>
      <c r="Z350" s="167">
        <v>138259</v>
      </c>
      <c r="AA350" s="167"/>
      <c r="AB350" s="167"/>
      <c r="AC350" s="167"/>
      <c r="AD350" s="167"/>
      <c r="AE350" s="167"/>
      <c r="AF350" s="167"/>
      <c r="AG350" s="167"/>
      <c r="AH350" s="167"/>
      <c r="AI350" s="167"/>
      <c r="AJ350" s="167"/>
      <c r="AK350" s="167"/>
    </row>
    <row r="351" spans="2:37" x14ac:dyDescent="0.25">
      <c r="B351" s="168" t="s">
        <v>762</v>
      </c>
      <c r="E351" s="168" t="s">
        <v>776</v>
      </c>
      <c r="H351" t="s">
        <v>1026</v>
      </c>
      <c r="I351" s="167">
        <v>40416</v>
      </c>
      <c r="J351" s="167">
        <v>41902</v>
      </c>
      <c r="K351" s="167">
        <v>44543</v>
      </c>
      <c r="L351" s="167">
        <v>48592</v>
      </c>
      <c r="M351" s="167">
        <v>69037</v>
      </c>
      <c r="N351" s="167">
        <v>78479</v>
      </c>
      <c r="O351" s="167">
        <v>80041</v>
      </c>
      <c r="P351" s="167">
        <v>75063</v>
      </c>
      <c r="Q351" s="167">
        <v>71482</v>
      </c>
      <c r="R351" s="167">
        <v>76360</v>
      </c>
      <c r="S351" s="167">
        <v>84571</v>
      </c>
      <c r="T351" s="167">
        <v>88111</v>
      </c>
      <c r="U351" s="167">
        <v>95818</v>
      </c>
      <c r="V351" s="167">
        <v>98805</v>
      </c>
      <c r="W351" s="167">
        <v>103369</v>
      </c>
      <c r="X351" s="167">
        <v>106075</v>
      </c>
      <c r="Y351" s="167">
        <v>106851</v>
      </c>
      <c r="Z351" s="167">
        <v>108723</v>
      </c>
      <c r="AA351" s="167"/>
      <c r="AB351" s="167"/>
      <c r="AC351" s="167"/>
      <c r="AD351" s="167"/>
      <c r="AE351" s="167"/>
      <c r="AF351" s="167"/>
      <c r="AG351" s="167"/>
      <c r="AH351" s="167"/>
      <c r="AI351" s="167"/>
      <c r="AJ351" s="167"/>
      <c r="AK351" s="167"/>
    </row>
    <row r="352" spans="2:37" x14ac:dyDescent="0.25">
      <c r="B352" s="168" t="s">
        <v>763</v>
      </c>
      <c r="D352" s="168" t="s">
        <v>778</v>
      </c>
      <c r="H352" t="s">
        <v>1026</v>
      </c>
      <c r="I352" s="167">
        <v>171599</v>
      </c>
      <c r="J352" s="167">
        <v>167050</v>
      </c>
      <c r="K352" s="167">
        <v>118432</v>
      </c>
      <c r="L352" s="167">
        <v>17686</v>
      </c>
      <c r="M352" s="167">
        <v>-19525</v>
      </c>
      <c r="N352" s="167">
        <v>-17715</v>
      </c>
      <c r="O352" s="167">
        <v>-14780</v>
      </c>
      <c r="P352" s="167">
        <v>402721</v>
      </c>
      <c r="Q352" s="167">
        <v>422447</v>
      </c>
      <c r="R352" s="167">
        <v>202268</v>
      </c>
      <c r="S352" s="167">
        <v>194753</v>
      </c>
      <c r="T352" s="167">
        <v>182224</v>
      </c>
      <c r="U352" s="167">
        <v>205437</v>
      </c>
      <c r="V352" s="167">
        <v>260989</v>
      </c>
      <c r="W352" s="167">
        <v>289705</v>
      </c>
      <c r="X352" s="167">
        <v>328317</v>
      </c>
      <c r="Y352" s="167">
        <v>341573</v>
      </c>
      <c r="Z352" s="167">
        <v>356157</v>
      </c>
      <c r="AA352" s="167"/>
      <c r="AB352" s="167"/>
      <c r="AC352" s="167"/>
      <c r="AD352" s="167"/>
      <c r="AE352" s="167"/>
      <c r="AF352" s="167"/>
      <c r="AG352" s="167"/>
      <c r="AH352" s="167"/>
      <c r="AI352" s="167"/>
      <c r="AJ352" s="167"/>
      <c r="AK352" s="167"/>
    </row>
    <row r="353" spans="1:37" x14ac:dyDescent="0.25">
      <c r="B353" s="168" t="s">
        <v>764</v>
      </c>
      <c r="E353" s="168" t="s">
        <v>780</v>
      </c>
      <c r="H353" t="s">
        <v>1026</v>
      </c>
      <c r="I353" s="167">
        <v>1404</v>
      </c>
      <c r="J353" s="167">
        <v>3342</v>
      </c>
      <c r="K353" s="167">
        <v>2317</v>
      </c>
      <c r="L353" s="167">
        <v>2053</v>
      </c>
      <c r="M353" s="167">
        <v>1879</v>
      </c>
      <c r="N353" s="167">
        <v>3006</v>
      </c>
      <c r="O353" s="167">
        <v>964</v>
      </c>
      <c r="P353" s="167">
        <v>628</v>
      </c>
      <c r="Q353" s="167">
        <v>264</v>
      </c>
      <c r="R353" s="167">
        <v>4553</v>
      </c>
      <c r="S353" s="167">
        <v>-2794</v>
      </c>
      <c r="T353" s="167">
        <v>-1183</v>
      </c>
      <c r="U353" s="167">
        <v>990</v>
      </c>
      <c r="V353" s="167">
        <v>1315</v>
      </c>
      <c r="W353" s="167">
        <v>1418</v>
      </c>
      <c r="X353" s="167">
        <v>1938</v>
      </c>
      <c r="Y353" s="167">
        <v>-686</v>
      </c>
      <c r="Z353" s="167">
        <v>-736</v>
      </c>
      <c r="AA353" s="167"/>
      <c r="AB353" s="167"/>
      <c r="AC353" s="167"/>
      <c r="AD353" s="167"/>
      <c r="AE353" s="167"/>
      <c r="AF353" s="167"/>
      <c r="AG353" s="167"/>
      <c r="AH353" s="167"/>
      <c r="AI353" s="167"/>
      <c r="AJ353" s="167"/>
      <c r="AK353" s="167"/>
    </row>
    <row r="354" spans="1:37" x14ac:dyDescent="0.25">
      <c r="B354" s="168" t="s">
        <v>765</v>
      </c>
      <c r="E354" s="168" t="s">
        <v>781</v>
      </c>
      <c r="H354" t="s">
        <v>1026</v>
      </c>
      <c r="I354" s="167">
        <v>170195</v>
      </c>
      <c r="J354" s="167">
        <v>163708</v>
      </c>
      <c r="K354" s="167">
        <v>116115</v>
      </c>
      <c r="L354" s="167">
        <v>15633</v>
      </c>
      <c r="M354" s="167">
        <v>-21404</v>
      </c>
      <c r="N354" s="167">
        <v>-20721</v>
      </c>
      <c r="O354" s="167">
        <v>-15744</v>
      </c>
      <c r="P354" s="167">
        <v>402093</v>
      </c>
      <c r="Q354" s="167">
        <v>422183</v>
      </c>
      <c r="R354" s="167">
        <v>197715</v>
      </c>
      <c r="S354" s="167">
        <v>197547</v>
      </c>
      <c r="T354" s="167">
        <v>183407</v>
      </c>
      <c r="U354" s="167">
        <v>204447</v>
      </c>
      <c r="V354" s="167">
        <v>259674</v>
      </c>
      <c r="W354" s="167">
        <v>288287</v>
      </c>
      <c r="X354" s="167">
        <v>326379</v>
      </c>
      <c r="Y354" s="167">
        <v>342259</v>
      </c>
      <c r="Z354" s="167">
        <v>356893</v>
      </c>
      <c r="AA354" s="167"/>
      <c r="AB354" s="167"/>
      <c r="AC354" s="167"/>
      <c r="AD354" s="167"/>
      <c r="AE354" s="167"/>
      <c r="AF354" s="167"/>
      <c r="AG354" s="167"/>
      <c r="AH354" s="167"/>
      <c r="AI354" s="167"/>
      <c r="AJ354" s="167"/>
      <c r="AK354" s="167"/>
    </row>
    <row r="355" spans="1:37" x14ac:dyDescent="0.25">
      <c r="B355" s="168" t="s">
        <v>291</v>
      </c>
      <c r="C355" s="169" t="s">
        <v>743</v>
      </c>
      <c r="I355" s="167" t="s">
        <v>291</v>
      </c>
      <c r="J355" s="167" t="s">
        <v>291</v>
      </c>
      <c r="K355" s="167" t="s">
        <v>291</v>
      </c>
      <c r="L355" s="167" t="s">
        <v>291</v>
      </c>
      <c r="M355" s="167" t="s">
        <v>291</v>
      </c>
      <c r="N355" s="167" t="s">
        <v>291</v>
      </c>
      <c r="O355" s="167" t="s">
        <v>291</v>
      </c>
      <c r="P355" s="167" t="s">
        <v>291</v>
      </c>
      <c r="Q355" s="167"/>
      <c r="R355" s="167"/>
      <c r="S355" s="167"/>
      <c r="T355" s="167"/>
      <c r="U355" s="167"/>
      <c r="V355" s="167"/>
      <c r="W355" s="167"/>
      <c r="X355" s="167"/>
      <c r="Y355" s="167"/>
      <c r="Z355" s="167"/>
      <c r="AA355" s="167"/>
      <c r="AB355" s="167"/>
      <c r="AC355" s="167"/>
      <c r="AD355" s="167"/>
      <c r="AE355" s="167"/>
      <c r="AF355" s="167"/>
      <c r="AG355" s="167"/>
      <c r="AH355" s="167"/>
      <c r="AI355" s="167"/>
      <c r="AJ355" s="167"/>
      <c r="AK355" s="167"/>
    </row>
    <row r="356" spans="1:37" x14ac:dyDescent="0.25">
      <c r="B356" s="168" t="s">
        <v>766</v>
      </c>
      <c r="D356" s="168" t="s">
        <v>274</v>
      </c>
      <c r="H356" t="s">
        <v>801</v>
      </c>
      <c r="I356" s="167">
        <v>23136</v>
      </c>
      <c r="J356" s="167">
        <v>23137</v>
      </c>
      <c r="K356" s="167">
        <v>23668</v>
      </c>
      <c r="L356" s="167">
        <v>24464</v>
      </c>
      <c r="M356" s="167">
        <v>25714</v>
      </c>
      <c r="N356" s="167">
        <v>27029</v>
      </c>
      <c r="O356" s="167">
        <v>28029</v>
      </c>
      <c r="P356" s="167">
        <v>26773</v>
      </c>
      <c r="Q356" s="167">
        <v>26308</v>
      </c>
      <c r="R356" s="167">
        <v>26607</v>
      </c>
      <c r="S356" s="167">
        <v>27348</v>
      </c>
      <c r="T356" s="167">
        <v>28653</v>
      </c>
      <c r="U356" s="167">
        <v>29898</v>
      </c>
      <c r="V356" s="167">
        <v>30711</v>
      </c>
      <c r="W356" s="167">
        <v>32071</v>
      </c>
      <c r="X356" s="167">
        <v>32741</v>
      </c>
      <c r="Y356" s="167">
        <v>33629</v>
      </c>
      <c r="Z356" s="167">
        <v>34492</v>
      </c>
      <c r="AA356" s="167"/>
      <c r="AB356" s="167"/>
      <c r="AC356" s="167"/>
      <c r="AD356" s="167"/>
      <c r="AE356" s="167"/>
      <c r="AF356" s="167"/>
      <c r="AG356" s="167"/>
      <c r="AH356" s="167"/>
      <c r="AI356" s="167"/>
      <c r="AJ356" s="167"/>
      <c r="AK356" s="167"/>
    </row>
    <row r="357" spans="1:37" x14ac:dyDescent="0.25">
      <c r="B357" s="168" t="s">
        <v>767</v>
      </c>
      <c r="E357" s="168" t="s">
        <v>744</v>
      </c>
      <c r="H357" t="s">
        <v>801</v>
      </c>
      <c r="I357" s="167">
        <v>17783</v>
      </c>
      <c r="J357" s="167">
        <v>17511</v>
      </c>
      <c r="K357" s="167">
        <v>17570</v>
      </c>
      <c r="L357" s="167">
        <v>17984</v>
      </c>
      <c r="M357" s="167">
        <v>18648</v>
      </c>
      <c r="N357" s="167">
        <v>19215</v>
      </c>
      <c r="O357" s="167">
        <v>19685</v>
      </c>
      <c r="P357" s="167">
        <v>18090</v>
      </c>
      <c r="Q357" s="167">
        <v>17600</v>
      </c>
      <c r="R357" s="167">
        <v>17585</v>
      </c>
      <c r="S357" s="167">
        <v>18094</v>
      </c>
      <c r="T357" s="167">
        <v>18836</v>
      </c>
      <c r="U357" s="167">
        <v>19564</v>
      </c>
      <c r="V357" s="167">
        <v>20323</v>
      </c>
      <c r="W357" s="167">
        <v>21068</v>
      </c>
      <c r="X357" s="167">
        <v>21513</v>
      </c>
      <c r="Y357" s="167">
        <v>21692</v>
      </c>
      <c r="Z357" s="167">
        <v>22202</v>
      </c>
      <c r="AA357" s="167"/>
      <c r="AB357" s="167"/>
      <c r="AC357" s="167"/>
      <c r="AD357" s="167"/>
      <c r="AE357" s="167"/>
      <c r="AF357" s="167"/>
      <c r="AG357" s="167"/>
      <c r="AH357" s="167"/>
      <c r="AI357" s="167"/>
      <c r="AJ357" s="167"/>
      <c r="AK357" s="167"/>
    </row>
    <row r="358" spans="1:37" x14ac:dyDescent="0.25">
      <c r="B358" s="168" t="s">
        <v>768</v>
      </c>
      <c r="E358" s="168" t="s">
        <v>745</v>
      </c>
      <c r="H358" t="s">
        <v>801</v>
      </c>
      <c r="I358" s="167">
        <v>5353</v>
      </c>
      <c r="J358" s="167">
        <v>5626</v>
      </c>
      <c r="K358" s="167">
        <v>6098</v>
      </c>
      <c r="L358" s="167">
        <v>6480</v>
      </c>
      <c r="M358" s="167">
        <v>7066</v>
      </c>
      <c r="N358" s="167">
        <v>7814</v>
      </c>
      <c r="O358" s="167">
        <v>8344</v>
      </c>
      <c r="P358" s="167">
        <v>8683</v>
      </c>
      <c r="Q358" s="167">
        <v>8708</v>
      </c>
      <c r="R358" s="167">
        <v>9022</v>
      </c>
      <c r="S358" s="167">
        <v>9254</v>
      </c>
      <c r="T358" s="167">
        <v>9817</v>
      </c>
      <c r="U358" s="167">
        <v>10334</v>
      </c>
      <c r="V358" s="167">
        <v>10388</v>
      </c>
      <c r="W358" s="167">
        <v>11003</v>
      </c>
      <c r="X358" s="167">
        <v>11228</v>
      </c>
      <c r="Y358" s="167">
        <v>11937</v>
      </c>
      <c r="Z358" s="167">
        <v>12290</v>
      </c>
      <c r="AA358" s="167"/>
      <c r="AB358" s="167"/>
      <c r="AC358" s="167"/>
      <c r="AD358" s="167"/>
      <c r="AE358" s="167"/>
      <c r="AF358" s="167"/>
      <c r="AG358" s="167"/>
      <c r="AH358" s="167"/>
      <c r="AI358" s="167"/>
      <c r="AJ358" s="167"/>
      <c r="AK358" s="167"/>
    </row>
    <row r="359" spans="1:37" s="3" customFormat="1" x14ac:dyDescent="0.25">
      <c r="B359" s="4"/>
    </row>
    <row r="360" spans="1:37" s="37" customFormat="1" ht="17.25" x14ac:dyDescent="0.3">
      <c r="A360" s="37" t="s">
        <v>312</v>
      </c>
    </row>
    <row r="361" spans="1:37" x14ac:dyDescent="0.25">
      <c r="B361" s="64" t="s">
        <v>31</v>
      </c>
      <c r="C361" t="s">
        <v>1029</v>
      </c>
    </row>
    <row r="362" spans="1:37" x14ac:dyDescent="0.25">
      <c r="B362" s="64"/>
      <c r="C362" s="284" t="s">
        <v>1030</v>
      </c>
    </row>
    <row r="363" spans="1:37" x14ac:dyDescent="0.25">
      <c r="B363" s="192" t="s">
        <v>32</v>
      </c>
      <c r="C363" s="195" t="s">
        <v>407</v>
      </c>
    </row>
    <row r="364" spans="1:37" s="223" customFormat="1" x14ac:dyDescent="0.25">
      <c r="B364" s="192"/>
      <c r="C364" s="195" t="s">
        <v>666</v>
      </c>
    </row>
    <row r="365" spans="1:37" s="223" customFormat="1" x14ac:dyDescent="0.25">
      <c r="B365" s="192"/>
      <c r="C365" s="268" t="s">
        <v>1000</v>
      </c>
    </row>
    <row r="366" spans="1:37" x14ac:dyDescent="0.25">
      <c r="B366" s="64" t="s">
        <v>331</v>
      </c>
      <c r="C366" t="s">
        <v>1532</v>
      </c>
    </row>
    <row r="367" spans="1:37" x14ac:dyDescent="0.25">
      <c r="B367" s="64" t="s">
        <v>332</v>
      </c>
      <c r="C367" t="s">
        <v>1020</v>
      </c>
    </row>
    <row r="368" spans="1:37" s="34" customFormat="1" ht="15.75" thickBot="1" x14ac:dyDescent="0.3">
      <c r="B368" s="65" t="s">
        <v>334</v>
      </c>
      <c r="C368" s="34" t="s">
        <v>1021</v>
      </c>
    </row>
    <row r="369" spans="1:37" s="16" customFormat="1" ht="15.75" thickTop="1" x14ac:dyDescent="0.25">
      <c r="B369" s="66" t="s">
        <v>34</v>
      </c>
      <c r="C369" s="68" t="s">
        <v>313</v>
      </c>
      <c r="H369" s="16" t="s">
        <v>801</v>
      </c>
      <c r="I369" s="61">
        <f t="shared" ref="I369:AK369" si="140">AVERAGE(I370:I381)</f>
        <v>16688.416666666668</v>
      </c>
      <c r="J369" s="61">
        <f t="shared" si="140"/>
        <v>16546.083333333332</v>
      </c>
      <c r="K369" s="61">
        <f t="shared" si="140"/>
        <v>16730.083333333332</v>
      </c>
      <c r="L369" s="61">
        <f t="shared" si="140"/>
        <v>17250.833333333332</v>
      </c>
      <c r="M369" s="61">
        <f t="shared" si="140"/>
        <v>17942.583333333332</v>
      </c>
      <c r="N369" s="61">
        <f t="shared" si="140"/>
        <v>18444.75</v>
      </c>
      <c r="O369" s="61">
        <f t="shared" si="140"/>
        <v>18906.166666666668</v>
      </c>
      <c r="P369" s="61">
        <f t="shared" si="140"/>
        <v>17414.833333333332</v>
      </c>
      <c r="Q369" s="61">
        <f t="shared" si="140"/>
        <v>16937.583333333332</v>
      </c>
      <c r="R369" s="61">
        <f t="shared" si="140"/>
        <v>16945.5</v>
      </c>
      <c r="S369" s="61">
        <f t="shared" si="140"/>
        <v>17418.666666666668</v>
      </c>
      <c r="T369" s="61">
        <f t="shared" si="140"/>
        <v>18106.833333333332</v>
      </c>
      <c r="U369" s="61">
        <f t="shared" si="140"/>
        <v>18835.583333333332</v>
      </c>
      <c r="V369" s="61">
        <f t="shared" si="140"/>
        <v>19496.583333333332</v>
      </c>
      <c r="W369" s="61">
        <f t="shared" si="140"/>
        <v>20232</v>
      </c>
      <c r="X369" s="61">
        <f t="shared" si="140"/>
        <v>20783.583333333332</v>
      </c>
      <c r="Y369" s="61">
        <f t="shared" si="140"/>
        <v>20959.25</v>
      </c>
      <c r="Z369" s="61">
        <f t="shared" si="140"/>
        <v>21429.083333333332</v>
      </c>
      <c r="AA369" s="61" t="e">
        <f t="shared" si="140"/>
        <v>#DIV/0!</v>
      </c>
      <c r="AB369" s="61" t="e">
        <f t="shared" si="140"/>
        <v>#DIV/0!</v>
      </c>
      <c r="AC369" s="61" t="e">
        <f t="shared" si="140"/>
        <v>#DIV/0!</v>
      </c>
      <c r="AD369" s="61" t="e">
        <f t="shared" si="140"/>
        <v>#DIV/0!</v>
      </c>
      <c r="AE369" s="61" t="e">
        <f t="shared" si="140"/>
        <v>#DIV/0!</v>
      </c>
      <c r="AF369" s="61" t="e">
        <f t="shared" si="140"/>
        <v>#DIV/0!</v>
      </c>
      <c r="AG369" s="61" t="e">
        <f t="shared" si="140"/>
        <v>#DIV/0!</v>
      </c>
      <c r="AH369" s="61" t="e">
        <f t="shared" si="140"/>
        <v>#DIV/0!</v>
      </c>
      <c r="AI369" s="61" t="e">
        <f t="shared" si="140"/>
        <v>#DIV/0!</v>
      </c>
      <c r="AJ369" s="61" t="e">
        <f t="shared" si="140"/>
        <v>#DIV/0!</v>
      </c>
      <c r="AK369" s="61" t="e">
        <f t="shared" si="140"/>
        <v>#DIV/0!</v>
      </c>
    </row>
    <row r="370" spans="1:37" x14ac:dyDescent="0.25">
      <c r="D370" t="s">
        <v>314</v>
      </c>
      <c r="H370" t="s">
        <v>801</v>
      </c>
      <c r="I370" s="59">
        <v>14905</v>
      </c>
      <c r="J370" s="59">
        <v>15436</v>
      </c>
      <c r="K370" s="59">
        <v>15457</v>
      </c>
      <c r="L370" s="59">
        <v>15750</v>
      </c>
      <c r="M370" s="59">
        <v>16580</v>
      </c>
      <c r="N370" s="59">
        <v>17341</v>
      </c>
      <c r="O370" s="59">
        <v>17945</v>
      </c>
      <c r="P370" s="59">
        <v>17123</v>
      </c>
      <c r="Q370" s="59">
        <v>15930</v>
      </c>
      <c r="R370" s="59">
        <v>15808</v>
      </c>
      <c r="S370" s="59">
        <v>16235</v>
      </c>
      <c r="T370" s="59">
        <v>16635</v>
      </c>
      <c r="U370" s="59">
        <v>17576</v>
      </c>
      <c r="V370" s="59">
        <v>18183</v>
      </c>
      <c r="W370" s="59">
        <v>18956</v>
      </c>
      <c r="X370" s="59">
        <v>19558</v>
      </c>
      <c r="Y370" s="59">
        <v>19829</v>
      </c>
      <c r="Z370" s="59">
        <v>20625</v>
      </c>
    </row>
    <row r="371" spans="1:37" x14ac:dyDescent="0.25">
      <c r="D371" t="s">
        <v>315</v>
      </c>
      <c r="H371" t="s">
        <v>801</v>
      </c>
      <c r="I371" s="59">
        <v>14884</v>
      </c>
      <c r="J371" s="59">
        <v>15372</v>
      </c>
      <c r="K371" s="59">
        <v>15365</v>
      </c>
      <c r="L371" s="59">
        <v>15756</v>
      </c>
      <c r="M371" s="59">
        <v>16671</v>
      </c>
      <c r="N371" s="59">
        <v>17287</v>
      </c>
      <c r="O371" s="59">
        <v>18061</v>
      </c>
      <c r="P371" s="59">
        <v>16822</v>
      </c>
      <c r="Q371" s="59">
        <v>15931</v>
      </c>
      <c r="R371" s="59">
        <v>15806</v>
      </c>
      <c r="S371" s="59">
        <v>16263</v>
      </c>
      <c r="T371" s="59">
        <v>16688</v>
      </c>
      <c r="U371" s="59">
        <v>17450</v>
      </c>
      <c r="V371" s="59">
        <v>18154</v>
      </c>
      <c r="W371" s="59">
        <v>18806</v>
      </c>
      <c r="X371" s="59">
        <v>19488</v>
      </c>
      <c r="Y371" s="59">
        <v>19675</v>
      </c>
      <c r="Z371" s="59">
        <v>20352</v>
      </c>
    </row>
    <row r="372" spans="1:37" x14ac:dyDescent="0.25">
      <c r="D372" t="s">
        <v>316</v>
      </c>
      <c r="H372" t="s">
        <v>801</v>
      </c>
      <c r="I372" s="59">
        <v>14863</v>
      </c>
      <c r="J372" s="59">
        <v>15252</v>
      </c>
      <c r="K372" s="59">
        <v>15292</v>
      </c>
      <c r="L372" s="59">
        <v>15741</v>
      </c>
      <c r="M372" s="59">
        <v>16718</v>
      </c>
      <c r="N372" s="59">
        <v>17292</v>
      </c>
      <c r="O372" s="59">
        <v>17896</v>
      </c>
      <c r="P372" s="59">
        <v>16600</v>
      </c>
      <c r="Q372" s="59">
        <v>15650</v>
      </c>
      <c r="R372" s="59">
        <v>15677</v>
      </c>
      <c r="S372" s="59">
        <v>16058</v>
      </c>
      <c r="T372" s="59">
        <v>16633</v>
      </c>
      <c r="U372" s="59">
        <v>17421</v>
      </c>
      <c r="V372" s="59">
        <v>18206</v>
      </c>
      <c r="W372" s="59">
        <v>18787</v>
      </c>
      <c r="X372" s="59">
        <v>19391</v>
      </c>
      <c r="Y372" s="59">
        <v>19560</v>
      </c>
      <c r="Z372" s="59">
        <v>20132</v>
      </c>
    </row>
    <row r="373" spans="1:37" x14ac:dyDescent="0.25">
      <c r="D373" t="s">
        <v>317</v>
      </c>
      <c r="H373" t="s">
        <v>801</v>
      </c>
      <c r="I373" s="59">
        <v>14332</v>
      </c>
      <c r="J373" s="59">
        <v>14661</v>
      </c>
      <c r="K373" s="59">
        <v>14912</v>
      </c>
      <c r="L373" s="59">
        <v>15291</v>
      </c>
      <c r="M373" s="59">
        <v>15704</v>
      </c>
      <c r="N373" s="59">
        <v>16097</v>
      </c>
      <c r="O373" s="59">
        <v>16575</v>
      </c>
      <c r="P373" s="59">
        <v>15176</v>
      </c>
      <c r="Q373" s="59">
        <v>14425</v>
      </c>
      <c r="R373" s="59">
        <v>13891</v>
      </c>
      <c r="S373" s="59">
        <v>14916</v>
      </c>
      <c r="T373" s="59">
        <v>15557</v>
      </c>
      <c r="U373" s="59">
        <v>16204</v>
      </c>
      <c r="V373" s="59">
        <v>16823</v>
      </c>
      <c r="W373" s="59">
        <v>17210</v>
      </c>
      <c r="X373" s="59">
        <v>17831</v>
      </c>
      <c r="Y373" s="59">
        <v>18308</v>
      </c>
      <c r="Z373" s="59">
        <v>18485</v>
      </c>
    </row>
    <row r="374" spans="1:37" x14ac:dyDescent="0.25">
      <c r="D374" t="s">
        <v>318</v>
      </c>
      <c r="H374" t="s">
        <v>801</v>
      </c>
      <c r="I374" s="59">
        <v>15844</v>
      </c>
      <c r="J374" s="59">
        <v>15656</v>
      </c>
      <c r="K374" s="59">
        <v>15556</v>
      </c>
      <c r="L374" s="59">
        <v>16112</v>
      </c>
      <c r="M374" s="59">
        <v>16668</v>
      </c>
      <c r="N374" s="59">
        <v>17182</v>
      </c>
      <c r="O374" s="59">
        <v>18209</v>
      </c>
      <c r="P374" s="59">
        <v>16572</v>
      </c>
      <c r="Q374" s="59">
        <v>15968</v>
      </c>
      <c r="R374" s="59">
        <v>15423</v>
      </c>
      <c r="S374" s="59">
        <v>15938</v>
      </c>
      <c r="T374" s="59">
        <v>16484</v>
      </c>
      <c r="U374" s="59">
        <v>17267</v>
      </c>
      <c r="V374" s="59">
        <v>18253</v>
      </c>
      <c r="W374" s="59">
        <v>18992</v>
      </c>
      <c r="X374" s="59">
        <v>19668</v>
      </c>
      <c r="Y374" s="59">
        <v>19941</v>
      </c>
      <c r="Z374" s="59">
        <v>20413</v>
      </c>
    </row>
    <row r="375" spans="1:37" x14ac:dyDescent="0.25">
      <c r="D375" t="s">
        <v>319</v>
      </c>
      <c r="H375" t="s">
        <v>801</v>
      </c>
      <c r="I375" s="59">
        <v>19474</v>
      </c>
      <c r="J375" s="59">
        <v>18975</v>
      </c>
      <c r="K375" s="59">
        <v>19136</v>
      </c>
      <c r="L375" s="59">
        <v>19583</v>
      </c>
      <c r="M375" s="59">
        <v>20591</v>
      </c>
      <c r="N375" s="59">
        <v>20836</v>
      </c>
      <c r="O375" s="59">
        <v>21860</v>
      </c>
      <c r="P375" s="59">
        <v>19770</v>
      </c>
      <c r="Q375" s="59">
        <v>19404</v>
      </c>
      <c r="R375" s="59">
        <v>19208</v>
      </c>
      <c r="S375" s="59">
        <v>19896</v>
      </c>
      <c r="T375" s="59">
        <v>20741</v>
      </c>
      <c r="U375" s="59">
        <v>21636</v>
      </c>
      <c r="V375" s="59">
        <v>22214</v>
      </c>
      <c r="W375" s="59">
        <v>23160</v>
      </c>
      <c r="X375" s="59">
        <v>23635</v>
      </c>
      <c r="Y375" s="59">
        <v>23851</v>
      </c>
      <c r="Z375" s="59">
        <v>24148</v>
      </c>
    </row>
    <row r="376" spans="1:37" x14ac:dyDescent="0.25">
      <c r="D376" t="s">
        <v>320</v>
      </c>
      <c r="H376" t="s">
        <v>801</v>
      </c>
      <c r="I376" s="59">
        <v>20743</v>
      </c>
      <c r="J376" s="59">
        <v>19993</v>
      </c>
      <c r="K376" s="59">
        <v>20138</v>
      </c>
      <c r="L376" s="59">
        <v>20630</v>
      </c>
      <c r="M376" s="59">
        <v>21605</v>
      </c>
      <c r="N376" s="59">
        <v>21794</v>
      </c>
      <c r="O376" s="59">
        <v>22404</v>
      </c>
      <c r="P376" s="59">
        <v>20395</v>
      </c>
      <c r="Q376" s="59">
        <v>20400</v>
      </c>
      <c r="R376" s="59">
        <v>20561</v>
      </c>
      <c r="S376" s="59">
        <v>20750</v>
      </c>
      <c r="T376" s="59">
        <v>21503</v>
      </c>
      <c r="U376" s="59">
        <v>22548</v>
      </c>
      <c r="V376" s="59">
        <v>23190</v>
      </c>
      <c r="W376" s="59">
        <v>24277</v>
      </c>
      <c r="X376" s="59">
        <v>24853</v>
      </c>
      <c r="Y376" s="59">
        <v>24998</v>
      </c>
      <c r="Z376" s="59">
        <v>25300</v>
      </c>
    </row>
    <row r="377" spans="1:37" x14ac:dyDescent="0.25">
      <c r="D377" t="s">
        <v>321</v>
      </c>
      <c r="H377" t="s">
        <v>801</v>
      </c>
      <c r="I377" s="59">
        <v>20402</v>
      </c>
      <c r="J377" s="59">
        <v>19847</v>
      </c>
      <c r="K377" s="59">
        <v>19994</v>
      </c>
      <c r="L377" s="59">
        <v>20542</v>
      </c>
      <c r="M377" s="59">
        <v>21300</v>
      </c>
      <c r="N377" s="59">
        <v>21576</v>
      </c>
      <c r="O377" s="59">
        <v>22113</v>
      </c>
      <c r="P377" s="59">
        <v>20194</v>
      </c>
      <c r="Q377" s="59">
        <v>20180</v>
      </c>
      <c r="R377" s="59">
        <v>20410</v>
      </c>
      <c r="S377" s="59">
        <v>20669</v>
      </c>
      <c r="T377" s="59">
        <v>21619</v>
      </c>
      <c r="U377" s="59">
        <v>22471</v>
      </c>
      <c r="V377" s="59">
        <v>23064</v>
      </c>
      <c r="W377" s="59">
        <v>23965</v>
      </c>
      <c r="X377" s="59">
        <v>24687</v>
      </c>
      <c r="Y377" s="59">
        <v>24716</v>
      </c>
      <c r="Z377" s="59">
        <v>25173</v>
      </c>
    </row>
    <row r="378" spans="1:37" x14ac:dyDescent="0.25">
      <c r="D378" t="s">
        <v>322</v>
      </c>
      <c r="H378" t="s">
        <v>801</v>
      </c>
      <c r="I378" s="59">
        <v>18791</v>
      </c>
      <c r="J378" s="59">
        <v>18052</v>
      </c>
      <c r="K378" s="59">
        <v>18358</v>
      </c>
      <c r="L378" s="59">
        <v>18989</v>
      </c>
      <c r="M378" s="59">
        <v>19492</v>
      </c>
      <c r="N378" s="59">
        <v>20207</v>
      </c>
      <c r="O378" s="59">
        <v>20373</v>
      </c>
      <c r="P378" s="59">
        <v>18886</v>
      </c>
      <c r="Q378" s="59">
        <v>18793</v>
      </c>
      <c r="R378" s="59">
        <v>19053</v>
      </c>
      <c r="S378" s="59">
        <v>19173</v>
      </c>
      <c r="T378" s="59">
        <v>20150</v>
      </c>
      <c r="U378" s="59">
        <v>20703</v>
      </c>
      <c r="V378" s="59">
        <v>21417</v>
      </c>
      <c r="W378" s="59">
        <v>22271</v>
      </c>
      <c r="X378" s="59">
        <v>22744</v>
      </c>
      <c r="Y378" s="59">
        <v>22772</v>
      </c>
      <c r="Z378" s="59">
        <v>23165</v>
      </c>
    </row>
    <row r="379" spans="1:37" x14ac:dyDescent="0.25">
      <c r="D379" t="s">
        <v>323</v>
      </c>
      <c r="H379" t="s">
        <v>801</v>
      </c>
      <c r="I379" s="59">
        <v>15769</v>
      </c>
      <c r="J379" s="59">
        <v>15305</v>
      </c>
      <c r="K379" s="59">
        <v>16137</v>
      </c>
      <c r="L379" s="59">
        <v>17001</v>
      </c>
      <c r="M379" s="59">
        <v>17172</v>
      </c>
      <c r="N379" s="59">
        <v>17763</v>
      </c>
      <c r="O379" s="59">
        <v>18061</v>
      </c>
      <c r="P379" s="59">
        <v>16628</v>
      </c>
      <c r="Q379" s="59">
        <v>16371</v>
      </c>
      <c r="R379" s="59">
        <v>16875</v>
      </c>
      <c r="S379" s="59">
        <v>17311</v>
      </c>
      <c r="T379" s="59">
        <v>18184</v>
      </c>
      <c r="U379" s="59">
        <v>18813</v>
      </c>
      <c r="V379" s="59">
        <v>19378</v>
      </c>
      <c r="W379" s="59">
        <v>20053</v>
      </c>
      <c r="X379" s="59">
        <v>20532</v>
      </c>
      <c r="Y379" s="59">
        <v>20489</v>
      </c>
      <c r="Z379" s="59">
        <v>21129</v>
      </c>
    </row>
    <row r="380" spans="1:37" x14ac:dyDescent="0.25">
      <c r="D380" t="s">
        <v>324</v>
      </c>
      <c r="H380" t="s">
        <v>801</v>
      </c>
      <c r="I380" s="59">
        <v>14433</v>
      </c>
      <c r="J380" s="59">
        <v>14378</v>
      </c>
      <c r="K380" s="59">
        <v>14516</v>
      </c>
      <c r="L380" s="59">
        <v>15014</v>
      </c>
      <c r="M380" s="59">
        <v>15599</v>
      </c>
      <c r="N380" s="59">
        <v>16172</v>
      </c>
      <c r="O380" s="59">
        <v>16024</v>
      </c>
      <c r="P380" s="59">
        <v>14407</v>
      </c>
      <c r="Q380" s="59">
        <v>13867</v>
      </c>
      <c r="R380" s="59">
        <v>14110</v>
      </c>
      <c r="S380" s="59">
        <v>15076</v>
      </c>
      <c r="T380" s="59">
        <v>15483</v>
      </c>
      <c r="U380" s="59">
        <v>15675</v>
      </c>
      <c r="V380" s="59">
        <v>16310</v>
      </c>
      <c r="W380" s="59">
        <v>16938</v>
      </c>
      <c r="X380" s="59">
        <v>17445</v>
      </c>
      <c r="Y380" s="59">
        <v>17390</v>
      </c>
      <c r="Z380" s="59">
        <v>17658</v>
      </c>
    </row>
    <row r="381" spans="1:37" x14ac:dyDescent="0.25">
      <c r="D381" t="s">
        <v>325</v>
      </c>
      <c r="H381" t="s">
        <v>801</v>
      </c>
      <c r="I381" s="59">
        <v>15821</v>
      </c>
      <c r="J381" s="59">
        <v>15626</v>
      </c>
      <c r="K381" s="59">
        <v>15900</v>
      </c>
      <c r="L381" s="59">
        <v>16601</v>
      </c>
      <c r="M381" s="59">
        <v>17211</v>
      </c>
      <c r="N381" s="59">
        <v>17790</v>
      </c>
      <c r="O381" s="59">
        <v>17353</v>
      </c>
      <c r="P381" s="59">
        <v>16405</v>
      </c>
      <c r="Q381" s="59">
        <v>16332</v>
      </c>
      <c r="R381" s="59">
        <v>16524</v>
      </c>
      <c r="S381" s="59">
        <v>16739</v>
      </c>
      <c r="T381" s="59">
        <v>17605</v>
      </c>
      <c r="U381" s="59">
        <v>18263</v>
      </c>
      <c r="V381" s="59">
        <v>18767</v>
      </c>
      <c r="W381" s="59">
        <v>19369</v>
      </c>
      <c r="X381" s="59">
        <v>19571</v>
      </c>
      <c r="Y381" s="59">
        <v>19982</v>
      </c>
      <c r="Z381" s="59">
        <v>20569</v>
      </c>
    </row>
    <row r="382" spans="1:37" s="3" customFormat="1" x14ac:dyDescent="0.25">
      <c r="B382" s="4"/>
    </row>
    <row r="383" spans="1:37" s="37" customFormat="1" ht="17.25" x14ac:dyDescent="0.3">
      <c r="A383" s="37" t="s">
        <v>330</v>
      </c>
    </row>
    <row r="384" spans="1:37" x14ac:dyDescent="0.25">
      <c r="B384" s="64" t="s">
        <v>31</v>
      </c>
      <c r="C384" t="s">
        <v>1037</v>
      </c>
    </row>
    <row r="385" spans="2:37" x14ac:dyDescent="0.25">
      <c r="B385" s="64"/>
      <c r="C385" t="s">
        <v>1038</v>
      </c>
    </row>
    <row r="386" spans="2:37" x14ac:dyDescent="0.25">
      <c r="B386" s="64" t="s">
        <v>32</v>
      </c>
      <c r="C386" s="195" t="s">
        <v>407</v>
      </c>
    </row>
    <row r="387" spans="2:37" s="223" customFormat="1" x14ac:dyDescent="0.25">
      <c r="B387" s="64"/>
      <c r="C387" s="268" t="s">
        <v>1451</v>
      </c>
    </row>
    <row r="388" spans="2:37" x14ac:dyDescent="0.25">
      <c r="B388" s="64" t="s">
        <v>331</v>
      </c>
      <c r="C388" s="5" t="s">
        <v>1533</v>
      </c>
    </row>
    <row r="389" spans="2:37" x14ac:dyDescent="0.25">
      <c r="B389" s="64" t="s">
        <v>332</v>
      </c>
      <c r="C389" t="s">
        <v>1039</v>
      </c>
    </row>
    <row r="390" spans="2:37" x14ac:dyDescent="0.25">
      <c r="B390" s="64" t="s">
        <v>334</v>
      </c>
      <c r="C390" t="s">
        <v>1960</v>
      </c>
    </row>
    <row r="391" spans="2:37" s="34" customFormat="1" ht="15.75" thickBot="1" x14ac:dyDescent="0.3">
      <c r="B391" s="65"/>
      <c r="C391" s="34" t="s">
        <v>1040</v>
      </c>
    </row>
    <row r="392" spans="2:37" s="72" customFormat="1" ht="15.75" thickTop="1" x14ac:dyDescent="0.25">
      <c r="B392" s="66" t="s">
        <v>34</v>
      </c>
      <c r="C392" s="15" t="s">
        <v>340</v>
      </c>
      <c r="H392" s="72" t="s">
        <v>1025</v>
      </c>
      <c r="I392" s="62">
        <f t="shared" ref="I392:AK392" si="141">AVERAGE(I393:I404)</f>
        <v>13378.416666666666</v>
      </c>
      <c r="J392" s="62">
        <f t="shared" si="141"/>
        <v>13232.916666666666</v>
      </c>
      <c r="K392" s="62">
        <f t="shared" si="141"/>
        <v>13291.083333333334</v>
      </c>
      <c r="L392" s="62">
        <f t="shared" si="141"/>
        <v>13343.666666666666</v>
      </c>
      <c r="M392" s="62">
        <f t="shared" si="141"/>
        <v>13576.75</v>
      </c>
      <c r="N392" s="62">
        <f t="shared" si="141"/>
        <v>14058</v>
      </c>
      <c r="O392" s="62">
        <f t="shared" si="141"/>
        <v>14036.416666666666</v>
      </c>
      <c r="P392" s="62">
        <f t="shared" si="141"/>
        <v>12917.416666666666</v>
      </c>
      <c r="Q392" s="62">
        <f t="shared" si="141"/>
        <v>12569.333333333334</v>
      </c>
      <c r="R392" s="62">
        <f t="shared" si="141"/>
        <v>12613.666666666666</v>
      </c>
      <c r="S392" s="62">
        <f t="shared" si="141"/>
        <v>12880.75</v>
      </c>
      <c r="T392" s="62">
        <f t="shared" si="141"/>
        <v>13318</v>
      </c>
      <c r="U392" s="62">
        <f t="shared" si="141"/>
        <v>13751.166666666666</v>
      </c>
      <c r="V392" s="62">
        <f t="shared" si="141"/>
        <v>14118.5</v>
      </c>
      <c r="W392" s="62">
        <f t="shared" si="141"/>
        <v>14708.25</v>
      </c>
      <c r="X392" s="62">
        <f t="shared" si="141"/>
        <v>14993.583333333334</v>
      </c>
      <c r="Y392" s="62">
        <f t="shared" si="141"/>
        <v>14958.833333333334</v>
      </c>
      <c r="Z392" s="62">
        <f t="shared" si="141"/>
        <v>15151.416666666666</v>
      </c>
      <c r="AA392" s="62">
        <f t="shared" si="141"/>
        <v>13667</v>
      </c>
      <c r="AB392" s="62" t="e">
        <f t="shared" si="141"/>
        <v>#DIV/0!</v>
      </c>
      <c r="AC392" s="62" t="e">
        <f t="shared" si="141"/>
        <v>#DIV/0!</v>
      </c>
      <c r="AD392" s="62" t="e">
        <f t="shared" si="141"/>
        <v>#DIV/0!</v>
      </c>
      <c r="AE392" s="62" t="e">
        <f t="shared" si="141"/>
        <v>#DIV/0!</v>
      </c>
      <c r="AF392" s="62" t="e">
        <f t="shared" si="141"/>
        <v>#DIV/0!</v>
      </c>
      <c r="AG392" s="62" t="e">
        <f t="shared" si="141"/>
        <v>#DIV/0!</v>
      </c>
      <c r="AH392" s="62" t="e">
        <f t="shared" si="141"/>
        <v>#DIV/0!</v>
      </c>
      <c r="AI392" s="62" t="e">
        <f t="shared" si="141"/>
        <v>#DIV/0!</v>
      </c>
      <c r="AJ392" s="62" t="e">
        <f t="shared" si="141"/>
        <v>#DIV/0!</v>
      </c>
      <c r="AK392" s="62" t="e">
        <f t="shared" si="141"/>
        <v>#DIV/0!</v>
      </c>
    </row>
    <row r="393" spans="2:37" s="5" customFormat="1" x14ac:dyDescent="0.25">
      <c r="B393" s="71"/>
      <c r="D393" t="s">
        <v>314</v>
      </c>
      <c r="H393" s="5" t="s">
        <v>1025</v>
      </c>
      <c r="I393" s="59">
        <v>12188</v>
      </c>
      <c r="J393" s="59">
        <v>12511</v>
      </c>
      <c r="K393" s="59">
        <v>12499</v>
      </c>
      <c r="L393" s="59">
        <v>12444</v>
      </c>
      <c r="M393" s="59">
        <v>12765</v>
      </c>
      <c r="N393" s="59">
        <v>13254</v>
      </c>
      <c r="O393" s="59">
        <v>13538</v>
      </c>
      <c r="P393" s="59">
        <v>12597</v>
      </c>
      <c r="Q393" s="59">
        <v>12024</v>
      </c>
      <c r="R393" s="59">
        <v>12024</v>
      </c>
      <c r="S393" s="59">
        <v>12250</v>
      </c>
      <c r="T393" s="59">
        <v>12524</v>
      </c>
      <c r="U393" s="59">
        <v>13090</v>
      </c>
      <c r="V393" s="59">
        <v>13378</v>
      </c>
      <c r="W393" s="59">
        <v>13947</v>
      </c>
      <c r="X393" s="59">
        <v>14424</v>
      </c>
      <c r="Y393" s="59">
        <v>14442</v>
      </c>
      <c r="Z393" s="59">
        <v>14790</v>
      </c>
      <c r="AA393" s="285">
        <v>15056</v>
      </c>
    </row>
    <row r="394" spans="2:37" x14ac:dyDescent="0.25">
      <c r="D394" t="s">
        <v>315</v>
      </c>
      <c r="H394" t="s">
        <v>1025</v>
      </c>
      <c r="I394" s="59">
        <v>12227</v>
      </c>
      <c r="J394" s="59">
        <v>12471</v>
      </c>
      <c r="K394" s="59">
        <v>12409</v>
      </c>
      <c r="L394" s="59">
        <v>12428</v>
      </c>
      <c r="M394" s="59">
        <v>12736</v>
      </c>
      <c r="N394" s="59">
        <v>13161</v>
      </c>
      <c r="O394" s="59">
        <v>13587</v>
      </c>
      <c r="P394" s="59">
        <v>12433</v>
      </c>
      <c r="Q394" s="59">
        <v>12084</v>
      </c>
      <c r="R394" s="59">
        <v>12071</v>
      </c>
      <c r="S394" s="59">
        <v>12282</v>
      </c>
      <c r="T394" s="59">
        <v>12554</v>
      </c>
      <c r="U394" s="59">
        <v>13060</v>
      </c>
      <c r="V394" s="59">
        <v>13363</v>
      </c>
      <c r="W394" s="59">
        <v>13890</v>
      </c>
      <c r="X394" s="59">
        <v>14379</v>
      </c>
      <c r="Y394" s="59">
        <v>14399</v>
      </c>
      <c r="Z394" s="59">
        <v>14664</v>
      </c>
      <c r="AA394" s="286">
        <v>14955</v>
      </c>
    </row>
    <row r="395" spans="2:37" x14ac:dyDescent="0.25">
      <c r="D395" t="s">
        <v>316</v>
      </c>
      <c r="H395" t="s">
        <v>1025</v>
      </c>
      <c r="I395" s="59">
        <v>12169</v>
      </c>
      <c r="J395" s="59">
        <v>12392</v>
      </c>
      <c r="K395" s="59">
        <v>12298</v>
      </c>
      <c r="L395" s="59">
        <v>12371</v>
      </c>
      <c r="M395" s="59">
        <v>12748</v>
      </c>
      <c r="N395" s="59">
        <v>13119</v>
      </c>
      <c r="O395" s="59">
        <v>13417</v>
      </c>
      <c r="P395" s="59">
        <v>12248</v>
      </c>
      <c r="Q395" s="59">
        <v>11913</v>
      </c>
      <c r="R395" s="59">
        <v>11999</v>
      </c>
      <c r="S395" s="59">
        <v>12119</v>
      </c>
      <c r="T395" s="59">
        <v>12503</v>
      </c>
      <c r="U395" s="59">
        <v>13036</v>
      </c>
      <c r="V395" s="59">
        <v>13397</v>
      </c>
      <c r="W395" s="59">
        <v>13877</v>
      </c>
      <c r="X395" s="59">
        <v>14258</v>
      </c>
      <c r="Y395" s="59">
        <v>14272</v>
      </c>
      <c r="Z395" s="59">
        <v>14539</v>
      </c>
      <c r="AA395" s="286">
        <v>14527</v>
      </c>
    </row>
    <row r="396" spans="2:37" x14ac:dyDescent="0.25">
      <c r="D396" t="s">
        <v>317</v>
      </c>
      <c r="H396" t="s">
        <v>1025</v>
      </c>
      <c r="I396" s="59">
        <v>11736</v>
      </c>
      <c r="J396" s="59">
        <v>11790</v>
      </c>
      <c r="K396" s="59">
        <v>12079</v>
      </c>
      <c r="L396" s="59">
        <v>12022</v>
      </c>
      <c r="M396" s="59">
        <v>12053</v>
      </c>
      <c r="N396" s="59">
        <v>12647</v>
      </c>
      <c r="O396" s="59">
        <v>12626</v>
      </c>
      <c r="P396" s="59">
        <v>11428</v>
      </c>
      <c r="Q396" s="59">
        <v>11099</v>
      </c>
      <c r="R396" s="59">
        <v>10846</v>
      </c>
      <c r="S396" s="59">
        <v>11422</v>
      </c>
      <c r="T396" s="59">
        <v>11790</v>
      </c>
      <c r="U396" s="59">
        <v>12169</v>
      </c>
      <c r="V396" s="59">
        <v>12482</v>
      </c>
      <c r="W396" s="59">
        <v>12871</v>
      </c>
      <c r="X396" s="59">
        <v>13227</v>
      </c>
      <c r="Y396" s="59">
        <v>13415</v>
      </c>
      <c r="Z396" s="59">
        <v>13434</v>
      </c>
      <c r="AA396" s="286">
        <v>12665</v>
      </c>
    </row>
    <row r="397" spans="2:37" x14ac:dyDescent="0.25">
      <c r="D397" t="s">
        <v>318</v>
      </c>
      <c r="H397" t="s">
        <v>1025</v>
      </c>
      <c r="I397" s="59">
        <v>12602</v>
      </c>
      <c r="J397" s="59">
        <v>12422</v>
      </c>
      <c r="K397" s="59">
        <v>12391</v>
      </c>
      <c r="L397" s="59">
        <v>12429</v>
      </c>
      <c r="M397" s="59">
        <v>12657</v>
      </c>
      <c r="N397" s="59">
        <v>13258</v>
      </c>
      <c r="O397" s="59">
        <v>13537</v>
      </c>
      <c r="P397" s="59">
        <v>12164</v>
      </c>
      <c r="Q397" s="59">
        <v>11872</v>
      </c>
      <c r="R397" s="59">
        <v>11627</v>
      </c>
      <c r="S397" s="59">
        <v>11897</v>
      </c>
      <c r="T397" s="59">
        <v>12221</v>
      </c>
      <c r="U397" s="59">
        <v>12635</v>
      </c>
      <c r="V397" s="59">
        <v>13226</v>
      </c>
      <c r="W397" s="59">
        <v>13789</v>
      </c>
      <c r="X397" s="59">
        <v>14130</v>
      </c>
      <c r="Y397" s="59">
        <v>14151</v>
      </c>
      <c r="Z397" s="59">
        <v>14327</v>
      </c>
      <c r="AA397" s="286">
        <v>12786</v>
      </c>
    </row>
    <row r="398" spans="2:37" x14ac:dyDescent="0.25">
      <c r="D398" t="s">
        <v>319</v>
      </c>
      <c r="H398" t="s">
        <v>1025</v>
      </c>
      <c r="I398" s="59">
        <v>15119</v>
      </c>
      <c r="J398" s="59">
        <v>14703</v>
      </c>
      <c r="K398" s="59">
        <v>14811</v>
      </c>
      <c r="L398" s="59">
        <v>14701</v>
      </c>
      <c r="M398" s="59">
        <v>15123</v>
      </c>
      <c r="N398" s="59">
        <v>15588</v>
      </c>
      <c r="O398" s="59">
        <v>15843</v>
      </c>
      <c r="P398" s="59">
        <v>14271</v>
      </c>
      <c r="Q398" s="59">
        <v>13925</v>
      </c>
      <c r="R398" s="59">
        <v>13927</v>
      </c>
      <c r="S398" s="59">
        <v>14267</v>
      </c>
      <c r="T398" s="59">
        <v>14859</v>
      </c>
      <c r="U398" s="59">
        <v>15325</v>
      </c>
      <c r="V398" s="59">
        <v>15680</v>
      </c>
      <c r="W398" s="59">
        <v>16379</v>
      </c>
      <c r="X398" s="59">
        <v>16557</v>
      </c>
      <c r="Y398" s="59">
        <v>16511</v>
      </c>
      <c r="Z398" s="59">
        <v>16586</v>
      </c>
      <c r="AA398" s="286">
        <v>13343</v>
      </c>
    </row>
    <row r="399" spans="2:37" x14ac:dyDescent="0.25">
      <c r="D399" t="s">
        <v>320</v>
      </c>
      <c r="H399" t="s">
        <v>1025</v>
      </c>
      <c r="I399" s="59">
        <v>16368</v>
      </c>
      <c r="J399" s="59">
        <v>15900</v>
      </c>
      <c r="K399" s="59">
        <v>15859</v>
      </c>
      <c r="L399" s="59">
        <v>15846</v>
      </c>
      <c r="M399" s="59">
        <v>16269</v>
      </c>
      <c r="N399" s="59">
        <v>16540</v>
      </c>
      <c r="O399" s="59">
        <v>16526</v>
      </c>
      <c r="P399" s="59">
        <v>15088</v>
      </c>
      <c r="Q399" s="59">
        <v>14787</v>
      </c>
      <c r="R399" s="59">
        <v>14993</v>
      </c>
      <c r="S399" s="59">
        <v>15087</v>
      </c>
      <c r="T399" s="59">
        <v>15588</v>
      </c>
      <c r="U399" s="59">
        <v>16181</v>
      </c>
      <c r="V399" s="59">
        <v>16533</v>
      </c>
      <c r="W399" s="59">
        <v>17334</v>
      </c>
      <c r="X399" s="59">
        <v>17609</v>
      </c>
      <c r="Y399" s="59">
        <v>17495</v>
      </c>
      <c r="Z399" s="59">
        <v>17564</v>
      </c>
      <c r="AA399" s="286">
        <v>13485</v>
      </c>
    </row>
    <row r="400" spans="2:37" x14ac:dyDescent="0.25">
      <c r="D400" t="s">
        <v>321</v>
      </c>
      <c r="H400" t="s">
        <v>1025</v>
      </c>
      <c r="I400" s="59">
        <v>15989</v>
      </c>
      <c r="J400" s="59">
        <v>15624</v>
      </c>
      <c r="K400" s="59">
        <v>15560</v>
      </c>
      <c r="L400" s="59">
        <v>15646</v>
      </c>
      <c r="M400" s="59">
        <v>15924</v>
      </c>
      <c r="N400" s="59">
        <v>16333</v>
      </c>
      <c r="O400" s="59">
        <v>16211</v>
      </c>
      <c r="P400" s="59">
        <v>14918</v>
      </c>
      <c r="Q400" s="59">
        <v>14545</v>
      </c>
      <c r="R400" s="59">
        <v>14731</v>
      </c>
      <c r="S400" s="59">
        <v>14922</v>
      </c>
      <c r="T400" s="59">
        <v>15574</v>
      </c>
      <c r="U400" s="59">
        <v>16068</v>
      </c>
      <c r="V400" s="59">
        <v>16370</v>
      </c>
      <c r="W400" s="59">
        <v>17076</v>
      </c>
      <c r="X400" s="59">
        <v>17407</v>
      </c>
      <c r="Y400" s="59">
        <v>17187</v>
      </c>
      <c r="Z400" s="59">
        <v>17385</v>
      </c>
      <c r="AA400" s="286">
        <v>13327</v>
      </c>
    </row>
    <row r="401" spans="3:37" x14ac:dyDescent="0.25">
      <c r="D401" t="s">
        <v>322</v>
      </c>
      <c r="H401" t="s">
        <v>1025</v>
      </c>
      <c r="I401" s="59">
        <v>14735</v>
      </c>
      <c r="J401" s="59">
        <v>14190</v>
      </c>
      <c r="K401" s="59">
        <v>14284</v>
      </c>
      <c r="L401" s="59">
        <v>14409</v>
      </c>
      <c r="M401" s="59">
        <v>14496</v>
      </c>
      <c r="N401" s="59">
        <v>15159</v>
      </c>
      <c r="O401" s="59">
        <v>14813</v>
      </c>
      <c r="P401" s="59">
        <v>13823</v>
      </c>
      <c r="Q401" s="59">
        <v>13514</v>
      </c>
      <c r="R401" s="59">
        <v>13621</v>
      </c>
      <c r="S401" s="59">
        <v>13785</v>
      </c>
      <c r="T401" s="59">
        <v>14392</v>
      </c>
      <c r="U401" s="59">
        <v>14734</v>
      </c>
      <c r="V401" s="59">
        <v>15146</v>
      </c>
      <c r="W401" s="59">
        <v>15841</v>
      </c>
      <c r="X401" s="59">
        <v>16002</v>
      </c>
      <c r="Y401" s="59">
        <v>15922</v>
      </c>
      <c r="Z401" s="59">
        <v>16067</v>
      </c>
      <c r="AA401" s="286">
        <v>13591</v>
      </c>
    </row>
    <row r="402" spans="3:37" x14ac:dyDescent="0.25">
      <c r="D402" t="s">
        <v>323</v>
      </c>
      <c r="H402" t="s">
        <v>1025</v>
      </c>
      <c r="I402" s="59">
        <v>12736</v>
      </c>
      <c r="J402" s="59">
        <v>12388</v>
      </c>
      <c r="K402" s="59">
        <v>12841</v>
      </c>
      <c r="L402" s="59">
        <v>13149</v>
      </c>
      <c r="M402" s="59">
        <v>13090</v>
      </c>
      <c r="N402" s="59">
        <v>13573</v>
      </c>
      <c r="O402" s="59">
        <v>13393</v>
      </c>
      <c r="P402" s="59">
        <v>12535</v>
      </c>
      <c r="Q402" s="59">
        <v>12179</v>
      </c>
      <c r="R402" s="59">
        <v>12455</v>
      </c>
      <c r="S402" s="59">
        <v>12742</v>
      </c>
      <c r="T402" s="59">
        <v>13213</v>
      </c>
      <c r="U402" s="59">
        <v>13615</v>
      </c>
      <c r="V402" s="59">
        <v>13959</v>
      </c>
      <c r="W402" s="59">
        <v>14561</v>
      </c>
      <c r="X402" s="59">
        <v>14767</v>
      </c>
      <c r="Y402" s="59">
        <v>14599</v>
      </c>
      <c r="Z402" s="59">
        <v>14808</v>
      </c>
      <c r="AA402" s="286">
        <v>13521</v>
      </c>
    </row>
    <row r="403" spans="3:37" x14ac:dyDescent="0.25">
      <c r="D403" t="s">
        <v>324</v>
      </c>
      <c r="H403" t="s">
        <v>1025</v>
      </c>
      <c r="I403" s="59">
        <v>11901</v>
      </c>
      <c r="J403" s="59">
        <v>11829</v>
      </c>
      <c r="K403" s="59">
        <v>11806</v>
      </c>
      <c r="L403" s="59">
        <v>11872</v>
      </c>
      <c r="M403" s="59">
        <v>12082</v>
      </c>
      <c r="N403" s="59">
        <v>12602</v>
      </c>
      <c r="O403" s="59">
        <v>12148</v>
      </c>
      <c r="P403" s="59">
        <v>11166</v>
      </c>
      <c r="Q403" s="59">
        <v>10724</v>
      </c>
      <c r="R403" s="59">
        <v>10853</v>
      </c>
      <c r="S403" s="59">
        <v>11474</v>
      </c>
      <c r="T403" s="59">
        <v>11700</v>
      </c>
      <c r="U403" s="59">
        <v>11854</v>
      </c>
      <c r="V403" s="59">
        <v>12221</v>
      </c>
      <c r="W403" s="59">
        <v>12769</v>
      </c>
      <c r="X403" s="59">
        <v>12980</v>
      </c>
      <c r="Y403" s="59">
        <v>12804</v>
      </c>
      <c r="Z403" s="59">
        <v>13123</v>
      </c>
      <c r="AA403" s="286">
        <v>13395</v>
      </c>
    </row>
    <row r="404" spans="3:37" x14ac:dyDescent="0.25">
      <c r="D404" t="s">
        <v>325</v>
      </c>
      <c r="H404" t="s">
        <v>1025</v>
      </c>
      <c r="I404" s="59">
        <v>12771</v>
      </c>
      <c r="J404" s="59">
        <v>12575</v>
      </c>
      <c r="K404" s="59">
        <v>12656</v>
      </c>
      <c r="L404" s="59">
        <v>12807</v>
      </c>
      <c r="M404" s="59">
        <v>12978</v>
      </c>
      <c r="N404" s="59">
        <v>13462</v>
      </c>
      <c r="O404" s="59">
        <v>12798</v>
      </c>
      <c r="P404" s="59">
        <v>12338</v>
      </c>
      <c r="Q404" s="59">
        <v>12166</v>
      </c>
      <c r="R404" s="59">
        <v>12217</v>
      </c>
      <c r="S404" s="59">
        <v>12322</v>
      </c>
      <c r="T404" s="59">
        <v>12898</v>
      </c>
      <c r="U404" s="59">
        <v>13247</v>
      </c>
      <c r="V404" s="59">
        <v>13667</v>
      </c>
      <c r="W404" s="59">
        <v>14165</v>
      </c>
      <c r="X404" s="59">
        <v>14183</v>
      </c>
      <c r="Y404" s="59">
        <v>14309</v>
      </c>
      <c r="Z404" s="59">
        <v>14530</v>
      </c>
      <c r="AA404" s="286">
        <v>13353</v>
      </c>
    </row>
    <row r="405" spans="3:37" x14ac:dyDescent="0.25">
      <c r="C405" s="15" t="s">
        <v>341</v>
      </c>
      <c r="D405" s="72"/>
      <c r="E405" s="72"/>
      <c r="F405" s="72"/>
      <c r="G405" s="72"/>
      <c r="H405" s="72" t="s">
        <v>1025</v>
      </c>
      <c r="I405" s="62">
        <f t="shared" ref="I405:AK405" si="142">AVERAGE(I406:I417)</f>
        <v>13791.833333333334</v>
      </c>
      <c r="J405" s="62">
        <f t="shared" si="142"/>
        <v>13708.75</v>
      </c>
      <c r="K405" s="62">
        <f t="shared" si="142"/>
        <v>13713.333333333334</v>
      </c>
      <c r="L405" s="62">
        <f t="shared" si="142"/>
        <v>13755.5</v>
      </c>
      <c r="M405" s="62">
        <f t="shared" si="142"/>
        <v>13930.916666666666</v>
      </c>
      <c r="N405" s="62">
        <f t="shared" si="142"/>
        <v>14374.916666666666</v>
      </c>
      <c r="O405" s="62">
        <f t="shared" si="142"/>
        <v>14459.583333333334</v>
      </c>
      <c r="P405" s="62">
        <f t="shared" si="142"/>
        <v>13882.5</v>
      </c>
      <c r="Q405" s="62">
        <f t="shared" si="142"/>
        <v>13611</v>
      </c>
      <c r="R405" s="62">
        <f t="shared" si="142"/>
        <v>13636.75</v>
      </c>
      <c r="S405" s="62">
        <f t="shared" si="142"/>
        <v>13804.916666666666</v>
      </c>
      <c r="T405" s="62">
        <f t="shared" si="142"/>
        <v>14106.916666666666</v>
      </c>
      <c r="U405" s="62">
        <f t="shared" si="142"/>
        <v>14418.666666666666</v>
      </c>
      <c r="V405" s="62">
        <f t="shared" si="142"/>
        <v>14693.916666666666</v>
      </c>
      <c r="W405" s="62">
        <f t="shared" si="142"/>
        <v>15236.916666666666</v>
      </c>
      <c r="X405" s="62">
        <f t="shared" si="142"/>
        <v>15427.166666666666</v>
      </c>
      <c r="Y405" s="62">
        <f t="shared" si="142"/>
        <v>15404.833333333334</v>
      </c>
      <c r="Z405" s="62">
        <f t="shared" si="142"/>
        <v>15575.666666666666</v>
      </c>
      <c r="AA405" s="62">
        <f t="shared" si="142"/>
        <v>14647.5</v>
      </c>
      <c r="AB405" s="62" t="e">
        <f t="shared" si="142"/>
        <v>#DIV/0!</v>
      </c>
      <c r="AC405" s="62" t="e">
        <f t="shared" si="142"/>
        <v>#DIV/0!</v>
      </c>
      <c r="AD405" s="62" t="e">
        <f t="shared" si="142"/>
        <v>#DIV/0!</v>
      </c>
      <c r="AE405" s="62" t="e">
        <f t="shared" si="142"/>
        <v>#DIV/0!</v>
      </c>
      <c r="AF405" s="62" t="e">
        <f t="shared" si="142"/>
        <v>#DIV/0!</v>
      </c>
      <c r="AG405" s="62" t="e">
        <f t="shared" si="142"/>
        <v>#DIV/0!</v>
      </c>
      <c r="AH405" s="62" t="e">
        <f t="shared" si="142"/>
        <v>#DIV/0!</v>
      </c>
      <c r="AI405" s="62" t="e">
        <f t="shared" si="142"/>
        <v>#DIV/0!</v>
      </c>
      <c r="AJ405" s="62" t="e">
        <f t="shared" si="142"/>
        <v>#DIV/0!</v>
      </c>
      <c r="AK405" s="62" t="e">
        <f t="shared" si="142"/>
        <v>#DIV/0!</v>
      </c>
    </row>
    <row r="406" spans="3:37" x14ac:dyDescent="0.25">
      <c r="C406" s="5"/>
      <c r="D406" t="s">
        <v>314</v>
      </c>
      <c r="E406" s="5"/>
      <c r="F406" s="5"/>
      <c r="G406" s="5"/>
      <c r="H406" s="5" t="s">
        <v>1025</v>
      </c>
      <c r="I406" s="59">
        <v>12610</v>
      </c>
      <c r="J406" s="59">
        <v>12985</v>
      </c>
      <c r="K406" s="59">
        <v>12951</v>
      </c>
      <c r="L406" s="59">
        <v>12883</v>
      </c>
      <c r="M406" s="59">
        <v>13138</v>
      </c>
      <c r="N406" s="59">
        <v>13584</v>
      </c>
      <c r="O406" s="59">
        <v>13865</v>
      </c>
      <c r="P406" s="59">
        <v>13337</v>
      </c>
      <c r="Q406" s="59">
        <v>13057</v>
      </c>
      <c r="R406" s="59">
        <v>13066</v>
      </c>
      <c r="S406" s="59">
        <v>13263</v>
      </c>
      <c r="T406" s="59">
        <v>13426</v>
      </c>
      <c r="U406" s="59">
        <v>13794</v>
      </c>
      <c r="V406" s="59">
        <v>13955</v>
      </c>
      <c r="W406" s="59">
        <v>14479</v>
      </c>
      <c r="X406" s="59">
        <v>14842</v>
      </c>
      <c r="Y406" s="59">
        <v>14833</v>
      </c>
      <c r="Z406" s="59">
        <v>15217</v>
      </c>
      <c r="AA406" s="285">
        <v>15473</v>
      </c>
      <c r="AB406" s="5"/>
      <c r="AC406" s="5"/>
      <c r="AD406" s="5"/>
      <c r="AE406" s="5"/>
      <c r="AF406" s="5"/>
      <c r="AG406" s="5"/>
      <c r="AH406" s="5"/>
      <c r="AI406" s="5"/>
      <c r="AJ406" s="5"/>
      <c r="AK406" s="5"/>
    </row>
    <row r="407" spans="3:37" x14ac:dyDescent="0.25">
      <c r="D407" t="s">
        <v>315</v>
      </c>
      <c r="H407" t="s">
        <v>1025</v>
      </c>
      <c r="I407" s="59">
        <v>12653</v>
      </c>
      <c r="J407" s="59">
        <v>12959</v>
      </c>
      <c r="K407" s="59">
        <v>12809</v>
      </c>
      <c r="L407" s="59">
        <v>12809</v>
      </c>
      <c r="M407" s="59">
        <v>13080</v>
      </c>
      <c r="N407" s="59">
        <v>13468</v>
      </c>
      <c r="O407" s="59">
        <v>13927</v>
      </c>
      <c r="P407" s="59">
        <v>13201</v>
      </c>
      <c r="Q407" s="59">
        <v>13089</v>
      </c>
      <c r="R407" s="59">
        <v>13050</v>
      </c>
      <c r="S407" s="59">
        <v>13193</v>
      </c>
      <c r="T407" s="59">
        <v>13341</v>
      </c>
      <c r="U407" s="59">
        <v>13688</v>
      </c>
      <c r="V407" s="59">
        <v>13876</v>
      </c>
      <c r="W407" s="59">
        <v>14326</v>
      </c>
      <c r="X407" s="59">
        <v>14758</v>
      </c>
      <c r="Y407" s="59">
        <v>14764</v>
      </c>
      <c r="Z407" s="59">
        <v>14989</v>
      </c>
      <c r="AA407" s="286">
        <v>15358</v>
      </c>
    </row>
    <row r="408" spans="3:37" x14ac:dyDescent="0.25">
      <c r="D408" t="s">
        <v>316</v>
      </c>
      <c r="H408" t="s">
        <v>1025</v>
      </c>
      <c r="I408" s="59">
        <v>12596</v>
      </c>
      <c r="J408" s="59">
        <v>12913</v>
      </c>
      <c r="K408" s="59">
        <v>12720</v>
      </c>
      <c r="L408" s="59">
        <v>12737</v>
      </c>
      <c r="M408" s="59">
        <v>13093</v>
      </c>
      <c r="N408" s="59">
        <v>13437</v>
      </c>
      <c r="O408" s="59">
        <v>13752</v>
      </c>
      <c r="P408" s="59">
        <v>13089</v>
      </c>
      <c r="Q408" s="59">
        <v>12930</v>
      </c>
      <c r="R408" s="59">
        <v>12962</v>
      </c>
      <c r="S408" s="59">
        <v>13026</v>
      </c>
      <c r="T408" s="59">
        <v>13286</v>
      </c>
      <c r="U408" s="59">
        <v>13662</v>
      </c>
      <c r="V408" s="59">
        <v>13901</v>
      </c>
      <c r="W408" s="59">
        <v>14390</v>
      </c>
      <c r="X408" s="59">
        <v>14651</v>
      </c>
      <c r="Y408" s="59">
        <v>14666</v>
      </c>
      <c r="Z408" s="59">
        <v>14898</v>
      </c>
      <c r="AA408" s="286">
        <v>14961</v>
      </c>
    </row>
    <row r="409" spans="3:37" x14ac:dyDescent="0.25">
      <c r="D409" t="s">
        <v>317</v>
      </c>
      <c r="H409" t="s">
        <v>1025</v>
      </c>
      <c r="I409" s="59">
        <v>12276</v>
      </c>
      <c r="J409" s="59">
        <v>12496</v>
      </c>
      <c r="K409" s="59">
        <v>12683</v>
      </c>
      <c r="L409" s="59">
        <v>12605</v>
      </c>
      <c r="M409" s="59">
        <v>12569</v>
      </c>
      <c r="N409" s="59">
        <v>13119</v>
      </c>
      <c r="O409" s="59">
        <v>13174</v>
      </c>
      <c r="P409" s="59">
        <v>12919</v>
      </c>
      <c r="Q409" s="59">
        <v>12646</v>
      </c>
      <c r="R409" s="59">
        <v>12480</v>
      </c>
      <c r="S409" s="59">
        <v>12791</v>
      </c>
      <c r="T409" s="59">
        <v>12968</v>
      </c>
      <c r="U409" s="59">
        <v>13229</v>
      </c>
      <c r="V409" s="59">
        <v>13416</v>
      </c>
      <c r="W409" s="59">
        <v>13787</v>
      </c>
      <c r="X409" s="59">
        <v>13787</v>
      </c>
      <c r="Y409" s="59">
        <v>14034</v>
      </c>
      <c r="Z409" s="59">
        <v>13995</v>
      </c>
      <c r="AA409" s="286">
        <v>15485</v>
      </c>
    </row>
    <row r="410" spans="3:37" x14ac:dyDescent="0.25">
      <c r="D410" t="s">
        <v>318</v>
      </c>
      <c r="H410" t="s">
        <v>1025</v>
      </c>
      <c r="I410" s="59">
        <v>13043</v>
      </c>
      <c r="J410" s="59">
        <v>12938</v>
      </c>
      <c r="K410" s="59">
        <v>12834</v>
      </c>
      <c r="L410" s="59">
        <v>12865</v>
      </c>
      <c r="M410" s="59">
        <v>13044</v>
      </c>
      <c r="N410" s="59">
        <v>13599</v>
      </c>
      <c r="O410" s="59">
        <v>13929</v>
      </c>
      <c r="P410" s="59">
        <v>13308</v>
      </c>
      <c r="Q410" s="59">
        <v>13105</v>
      </c>
      <c r="R410" s="59">
        <v>12823</v>
      </c>
      <c r="S410" s="59">
        <v>13048</v>
      </c>
      <c r="T410" s="59">
        <v>13101</v>
      </c>
      <c r="U410" s="59">
        <v>13424</v>
      </c>
      <c r="V410" s="59">
        <v>13921</v>
      </c>
      <c r="W410" s="59">
        <v>14467</v>
      </c>
      <c r="X410" s="59">
        <v>14629</v>
      </c>
      <c r="Y410" s="59">
        <v>14693</v>
      </c>
      <c r="Z410" s="59">
        <v>14760</v>
      </c>
      <c r="AA410" s="286">
        <v>15049</v>
      </c>
    </row>
    <row r="411" spans="3:37" x14ac:dyDescent="0.25">
      <c r="D411" t="s">
        <v>319</v>
      </c>
      <c r="H411" t="s">
        <v>1025</v>
      </c>
      <c r="I411" s="59">
        <v>15506</v>
      </c>
      <c r="J411" s="59">
        <v>15127</v>
      </c>
      <c r="K411" s="59">
        <v>15222</v>
      </c>
      <c r="L411" s="59">
        <v>15124</v>
      </c>
      <c r="M411" s="59">
        <v>15493</v>
      </c>
      <c r="N411" s="59">
        <v>15930</v>
      </c>
      <c r="O411" s="59">
        <v>16161</v>
      </c>
      <c r="P411" s="59">
        <v>15136</v>
      </c>
      <c r="Q411" s="59">
        <v>14815</v>
      </c>
      <c r="R411" s="59">
        <v>14738</v>
      </c>
      <c r="S411" s="59">
        <v>15031</v>
      </c>
      <c r="T411" s="59">
        <v>15481</v>
      </c>
      <c r="U411" s="59">
        <v>15872</v>
      </c>
      <c r="V411" s="59">
        <v>16169</v>
      </c>
      <c r="W411" s="59">
        <v>16810</v>
      </c>
      <c r="X411" s="59">
        <v>16930</v>
      </c>
      <c r="Y411" s="59">
        <v>16907</v>
      </c>
      <c r="Z411" s="59">
        <v>16961</v>
      </c>
      <c r="AA411" s="286">
        <v>14722</v>
      </c>
    </row>
    <row r="412" spans="3:37" x14ac:dyDescent="0.25">
      <c r="D412" t="s">
        <v>320</v>
      </c>
      <c r="H412" t="s">
        <v>1025</v>
      </c>
      <c r="I412" s="59">
        <v>16672</v>
      </c>
      <c r="J412" s="59">
        <v>16256</v>
      </c>
      <c r="K412" s="59">
        <v>16189</v>
      </c>
      <c r="L412" s="59">
        <v>16210</v>
      </c>
      <c r="M412" s="59">
        <v>16569</v>
      </c>
      <c r="N412" s="59">
        <v>16788</v>
      </c>
      <c r="O412" s="59">
        <v>16796</v>
      </c>
      <c r="P412" s="59">
        <v>15846</v>
      </c>
      <c r="Q412" s="59">
        <v>15511</v>
      </c>
      <c r="R412" s="59">
        <v>15732</v>
      </c>
      <c r="S412" s="59">
        <v>15749</v>
      </c>
      <c r="T412" s="59">
        <v>16133</v>
      </c>
      <c r="U412" s="59">
        <v>16650</v>
      </c>
      <c r="V412" s="59">
        <v>16924</v>
      </c>
      <c r="W412" s="59">
        <v>17694</v>
      </c>
      <c r="X412" s="59">
        <v>17905</v>
      </c>
      <c r="Y412" s="59">
        <v>17831</v>
      </c>
      <c r="Z412" s="59">
        <v>17904</v>
      </c>
      <c r="AA412" s="286">
        <v>14307</v>
      </c>
    </row>
    <row r="413" spans="3:37" x14ac:dyDescent="0.25">
      <c r="D413" t="s">
        <v>321</v>
      </c>
      <c r="H413" t="s">
        <v>1025</v>
      </c>
      <c r="I413" s="59">
        <v>16296</v>
      </c>
      <c r="J413" s="59">
        <v>16003</v>
      </c>
      <c r="K413" s="59">
        <v>15879</v>
      </c>
      <c r="L413" s="59">
        <v>15987</v>
      </c>
      <c r="M413" s="59">
        <v>16195</v>
      </c>
      <c r="N413" s="59">
        <v>16562</v>
      </c>
      <c r="O413" s="59">
        <v>16489</v>
      </c>
      <c r="P413" s="59">
        <v>15629</v>
      </c>
      <c r="Q413" s="59">
        <v>15251</v>
      </c>
      <c r="R413" s="59">
        <v>15417</v>
      </c>
      <c r="S413" s="59">
        <v>15558</v>
      </c>
      <c r="T413" s="59">
        <v>16082</v>
      </c>
      <c r="U413" s="59">
        <v>16513</v>
      </c>
      <c r="V413" s="59">
        <v>16729</v>
      </c>
      <c r="W413" s="59">
        <v>17409</v>
      </c>
      <c r="X413" s="59">
        <v>17705</v>
      </c>
      <c r="Y413" s="59">
        <v>17501</v>
      </c>
      <c r="Z413" s="59">
        <v>17714</v>
      </c>
      <c r="AA413" s="286">
        <v>13974</v>
      </c>
    </row>
    <row r="414" spans="3:37" x14ac:dyDescent="0.25">
      <c r="D414" t="s">
        <v>322</v>
      </c>
      <c r="H414" t="s">
        <v>1025</v>
      </c>
      <c r="I414" s="59">
        <v>15039</v>
      </c>
      <c r="J414" s="59">
        <v>14562</v>
      </c>
      <c r="K414" s="59">
        <v>14620</v>
      </c>
      <c r="L414" s="59">
        <v>14733</v>
      </c>
      <c r="M414" s="59">
        <v>14778</v>
      </c>
      <c r="N414" s="59">
        <v>15400</v>
      </c>
      <c r="O414" s="59">
        <v>15129</v>
      </c>
      <c r="P414" s="59">
        <v>14567</v>
      </c>
      <c r="Q414" s="59">
        <v>14251</v>
      </c>
      <c r="R414" s="59">
        <v>14329</v>
      </c>
      <c r="S414" s="59">
        <v>14435</v>
      </c>
      <c r="T414" s="59">
        <v>14908</v>
      </c>
      <c r="U414" s="59">
        <v>15176</v>
      </c>
      <c r="V414" s="59">
        <v>15520</v>
      </c>
      <c r="W414" s="59">
        <v>16161</v>
      </c>
      <c r="X414" s="59">
        <v>16324</v>
      </c>
      <c r="Y414" s="59">
        <v>16263</v>
      </c>
      <c r="Z414" s="59">
        <v>16399</v>
      </c>
      <c r="AA414" s="286">
        <v>14183</v>
      </c>
    </row>
    <row r="415" spans="3:37" x14ac:dyDescent="0.25">
      <c r="D415" t="s">
        <v>323</v>
      </c>
      <c r="H415" t="s">
        <v>1025</v>
      </c>
      <c r="I415" s="59">
        <v>13087</v>
      </c>
      <c r="J415" s="59">
        <v>12861</v>
      </c>
      <c r="K415" s="59">
        <v>13257</v>
      </c>
      <c r="L415" s="59">
        <v>13540</v>
      </c>
      <c r="M415" s="59">
        <v>13411</v>
      </c>
      <c r="N415" s="59">
        <v>13847</v>
      </c>
      <c r="O415" s="59">
        <v>13820</v>
      </c>
      <c r="P415" s="59">
        <v>13518</v>
      </c>
      <c r="Q415" s="59">
        <v>13206</v>
      </c>
      <c r="R415" s="59">
        <v>13448</v>
      </c>
      <c r="S415" s="59">
        <v>13602</v>
      </c>
      <c r="T415" s="59">
        <v>13948</v>
      </c>
      <c r="U415" s="59">
        <v>14268</v>
      </c>
      <c r="V415" s="59">
        <v>14526</v>
      </c>
      <c r="W415" s="59">
        <v>15012</v>
      </c>
      <c r="X415" s="59">
        <v>15200</v>
      </c>
      <c r="Y415" s="59">
        <v>14994</v>
      </c>
      <c r="Z415" s="59">
        <v>15229</v>
      </c>
      <c r="AA415" s="286">
        <v>14147</v>
      </c>
    </row>
    <row r="416" spans="3:37" x14ac:dyDescent="0.25">
      <c r="D416" t="s">
        <v>324</v>
      </c>
      <c r="H416" t="s">
        <v>1025</v>
      </c>
      <c r="I416" s="59">
        <v>12445</v>
      </c>
      <c r="J416" s="59">
        <v>12413</v>
      </c>
      <c r="K416" s="59">
        <v>12362</v>
      </c>
      <c r="L416" s="59">
        <v>12413</v>
      </c>
      <c r="M416" s="59">
        <v>12530</v>
      </c>
      <c r="N416" s="59">
        <v>13028</v>
      </c>
      <c r="O416" s="59">
        <v>12936</v>
      </c>
      <c r="P416" s="59">
        <v>12564</v>
      </c>
      <c r="Q416" s="59">
        <v>12180</v>
      </c>
      <c r="R416" s="59">
        <v>12260</v>
      </c>
      <c r="S416" s="59">
        <v>12642</v>
      </c>
      <c r="T416" s="59">
        <v>12816</v>
      </c>
      <c r="U416" s="59">
        <v>12871</v>
      </c>
      <c r="V416" s="59">
        <v>13133</v>
      </c>
      <c r="W416" s="59">
        <v>13582</v>
      </c>
      <c r="X416" s="59">
        <v>13772</v>
      </c>
      <c r="Y416" s="59">
        <v>13600</v>
      </c>
      <c r="Z416" s="59">
        <v>13871</v>
      </c>
      <c r="AA416" s="286">
        <v>14220</v>
      </c>
    </row>
    <row r="417" spans="1:27" x14ac:dyDescent="0.25">
      <c r="D417" t="s">
        <v>325</v>
      </c>
      <c r="H417" t="s">
        <v>1025</v>
      </c>
      <c r="I417" s="59">
        <v>13279</v>
      </c>
      <c r="J417" s="59">
        <v>12992</v>
      </c>
      <c r="K417" s="59">
        <v>13034</v>
      </c>
      <c r="L417" s="59">
        <v>13160</v>
      </c>
      <c r="M417" s="59">
        <v>13271</v>
      </c>
      <c r="N417" s="59">
        <v>13737</v>
      </c>
      <c r="O417" s="59">
        <v>13537</v>
      </c>
      <c r="P417" s="59">
        <v>13476</v>
      </c>
      <c r="Q417" s="59">
        <v>13291</v>
      </c>
      <c r="R417" s="59">
        <v>13336</v>
      </c>
      <c r="S417" s="59">
        <v>13321</v>
      </c>
      <c r="T417" s="59">
        <v>13793</v>
      </c>
      <c r="U417" s="59">
        <v>13877</v>
      </c>
      <c r="V417" s="59">
        <v>14257</v>
      </c>
      <c r="W417" s="59">
        <v>14726</v>
      </c>
      <c r="X417" s="59">
        <v>14623</v>
      </c>
      <c r="Y417" s="59">
        <v>14772</v>
      </c>
      <c r="Z417" s="59">
        <v>14971</v>
      </c>
      <c r="AA417" s="286">
        <v>13891</v>
      </c>
    </row>
    <row r="418" spans="1:27" s="3" customFormat="1" x14ac:dyDescent="0.25">
      <c r="B418" s="4"/>
      <c r="J418" s="73"/>
      <c r="K418" s="74"/>
      <c r="L418" s="74"/>
      <c r="M418" s="74"/>
      <c r="N418" s="74"/>
      <c r="O418" s="74"/>
      <c r="P418" s="74"/>
      <c r="Q418" s="74"/>
      <c r="R418" s="74"/>
      <c r="S418" s="74"/>
      <c r="T418" s="74"/>
      <c r="U418" s="74"/>
      <c r="V418" s="74"/>
      <c r="W418" s="74"/>
    </row>
    <row r="419" spans="1:27" s="37" customFormat="1" ht="17.25" x14ac:dyDescent="0.3">
      <c r="A419" s="37" t="s">
        <v>1092</v>
      </c>
    </row>
    <row r="420" spans="1:27" x14ac:dyDescent="0.25">
      <c r="B420" s="64" t="s">
        <v>31</v>
      </c>
      <c r="C420" t="s">
        <v>1097</v>
      </c>
    </row>
    <row r="421" spans="1:27" x14ac:dyDescent="0.25">
      <c r="B421" s="64"/>
      <c r="C421" t="s">
        <v>1041</v>
      </c>
    </row>
    <row r="422" spans="1:27" x14ac:dyDescent="0.25">
      <c r="B422" s="64" t="s">
        <v>32</v>
      </c>
      <c r="C422" s="195" t="s">
        <v>403</v>
      </c>
    </row>
    <row r="423" spans="1:27" x14ac:dyDescent="0.25">
      <c r="B423" s="64" t="s">
        <v>331</v>
      </c>
      <c r="C423" s="5" t="s">
        <v>1534</v>
      </c>
    </row>
    <row r="424" spans="1:27" x14ac:dyDescent="0.25">
      <c r="B424" s="64"/>
      <c r="C424" s="2" t="s">
        <v>1114</v>
      </c>
    </row>
    <row r="425" spans="1:27" x14ac:dyDescent="0.25">
      <c r="B425" s="64" t="s">
        <v>332</v>
      </c>
      <c r="C425" t="s">
        <v>1042</v>
      </c>
    </row>
    <row r="426" spans="1:27" s="34" customFormat="1" ht="15.75" thickBot="1" x14ac:dyDescent="0.3">
      <c r="B426" s="65" t="s">
        <v>334</v>
      </c>
      <c r="C426" s="34" t="s">
        <v>1961</v>
      </c>
    </row>
    <row r="427" spans="1:27" s="5" customFormat="1" ht="15.75" thickTop="1" x14ac:dyDescent="0.25">
      <c r="B427" s="71" t="s">
        <v>34</v>
      </c>
      <c r="C427" s="15" t="s">
        <v>1089</v>
      </c>
    </row>
    <row r="428" spans="1:27" s="5" customFormat="1" x14ac:dyDescent="0.25">
      <c r="B428" s="71"/>
      <c r="C428" s="5" t="s">
        <v>378</v>
      </c>
      <c r="H428" s="5" t="s">
        <v>1118</v>
      </c>
      <c r="I428" s="59">
        <v>13792</v>
      </c>
      <c r="J428" s="59">
        <v>14274</v>
      </c>
      <c r="K428" s="59">
        <v>14578</v>
      </c>
      <c r="L428" s="59">
        <v>15099</v>
      </c>
      <c r="M428" s="59">
        <v>15516</v>
      </c>
      <c r="N428" s="59">
        <v>15756</v>
      </c>
      <c r="O428" s="59">
        <v>16666</v>
      </c>
      <c r="P428" s="59">
        <v>15238</v>
      </c>
      <c r="Q428" s="59">
        <v>14899</v>
      </c>
      <c r="R428" s="59">
        <v>14985</v>
      </c>
      <c r="S428" s="59">
        <v>15371</v>
      </c>
      <c r="T428" s="59">
        <v>15927</v>
      </c>
      <c r="U428" s="59">
        <v>17008</v>
      </c>
      <c r="V428" s="59">
        <v>17344</v>
      </c>
      <c r="W428" s="59">
        <v>17505</v>
      </c>
      <c r="X428" s="59">
        <v>18350</v>
      </c>
      <c r="Y428" s="171">
        <v>18612</v>
      </c>
    </row>
    <row r="429" spans="1:27" s="5" customFormat="1" x14ac:dyDescent="0.25">
      <c r="B429" s="71"/>
      <c r="G429" s="5" t="s">
        <v>1098</v>
      </c>
      <c r="H429" s="5" t="s">
        <v>1118</v>
      </c>
      <c r="I429" s="59">
        <v>43</v>
      </c>
      <c r="J429" s="59">
        <v>73</v>
      </c>
      <c r="K429" s="59">
        <v>58</v>
      </c>
      <c r="L429" s="59">
        <v>63</v>
      </c>
      <c r="M429" s="59">
        <v>72</v>
      </c>
      <c r="N429" s="59">
        <v>67</v>
      </c>
      <c r="O429" s="59">
        <v>60</v>
      </c>
      <c r="P429" s="59">
        <v>55</v>
      </c>
      <c r="Q429" s="59">
        <v>75</v>
      </c>
      <c r="R429" s="59">
        <v>74</v>
      </c>
      <c r="S429" s="59">
        <v>72</v>
      </c>
      <c r="T429" s="59">
        <v>83</v>
      </c>
      <c r="U429" s="59">
        <v>75</v>
      </c>
      <c r="V429" s="59">
        <v>66</v>
      </c>
      <c r="W429" s="59">
        <v>67</v>
      </c>
      <c r="X429" s="59">
        <v>93</v>
      </c>
      <c r="Y429" s="5">
        <v>88</v>
      </c>
    </row>
    <row r="430" spans="1:27" s="5" customFormat="1" x14ac:dyDescent="0.25">
      <c r="B430" s="71"/>
      <c r="G430" s="5" t="s">
        <v>1099</v>
      </c>
      <c r="H430" s="5" t="s">
        <v>1118</v>
      </c>
      <c r="I430" s="59">
        <v>17</v>
      </c>
      <c r="J430" s="59">
        <v>4</v>
      </c>
      <c r="K430" s="59">
        <v>3</v>
      </c>
      <c r="L430" s="59">
        <v>5</v>
      </c>
      <c r="M430" s="59">
        <v>21</v>
      </c>
      <c r="N430" s="59">
        <v>37</v>
      </c>
      <c r="O430" s="59">
        <v>19</v>
      </c>
      <c r="P430" s="59">
        <v>9</v>
      </c>
      <c r="Q430" s="59">
        <v>13</v>
      </c>
      <c r="R430" s="59">
        <v>15</v>
      </c>
      <c r="S430" s="59">
        <v>5</v>
      </c>
      <c r="T430" s="59">
        <v>10</v>
      </c>
      <c r="U430" s="59">
        <v>6</v>
      </c>
      <c r="V430" s="59">
        <v>4</v>
      </c>
      <c r="W430" s="59">
        <v>7</v>
      </c>
      <c r="X430" s="59">
        <v>7</v>
      </c>
      <c r="Y430" s="5">
        <v>12</v>
      </c>
    </row>
    <row r="431" spans="1:27" s="5" customFormat="1" x14ac:dyDescent="0.25">
      <c r="B431" s="71"/>
      <c r="G431" s="5" t="s">
        <v>295</v>
      </c>
      <c r="H431" s="5" t="s">
        <v>1118</v>
      </c>
      <c r="I431" s="59">
        <v>36</v>
      </c>
      <c r="J431" s="59">
        <v>36</v>
      </c>
      <c r="K431" s="59">
        <v>34</v>
      </c>
      <c r="L431" s="59">
        <v>36</v>
      </c>
      <c r="M431" s="59">
        <v>34</v>
      </c>
      <c r="N431" s="59">
        <v>37</v>
      </c>
      <c r="O431" s="59">
        <v>35</v>
      </c>
      <c r="P431" s="59">
        <v>41</v>
      </c>
      <c r="Q431" s="59">
        <v>42</v>
      </c>
      <c r="R431" s="59">
        <v>36</v>
      </c>
      <c r="S431" s="59">
        <v>33</v>
      </c>
      <c r="T431" s="59">
        <v>36</v>
      </c>
      <c r="U431" s="59">
        <v>32</v>
      </c>
      <c r="V431" s="59">
        <v>41</v>
      </c>
      <c r="W431" s="59">
        <v>31</v>
      </c>
      <c r="X431" s="59">
        <v>37</v>
      </c>
      <c r="Y431" s="5">
        <v>40</v>
      </c>
    </row>
    <row r="432" spans="1:27" s="5" customFormat="1" x14ac:dyDescent="0.25">
      <c r="B432" s="71"/>
      <c r="G432" s="5" t="s">
        <v>296</v>
      </c>
      <c r="H432" s="5" t="s">
        <v>1118</v>
      </c>
      <c r="I432" s="59">
        <v>2191</v>
      </c>
      <c r="J432" s="59">
        <v>2034</v>
      </c>
      <c r="K432" s="59">
        <v>1666</v>
      </c>
      <c r="L432" s="59">
        <v>1907</v>
      </c>
      <c r="M432" s="59">
        <v>2111</v>
      </c>
      <c r="N432" s="59">
        <v>2240</v>
      </c>
      <c r="O432" s="59">
        <v>2246</v>
      </c>
      <c r="P432" s="59">
        <v>1991</v>
      </c>
      <c r="Q432" s="59">
        <v>1514</v>
      </c>
      <c r="R432" s="59">
        <v>1297</v>
      </c>
      <c r="S432" s="59">
        <v>1511</v>
      </c>
      <c r="T432" s="59">
        <v>1583</v>
      </c>
      <c r="U432" s="59">
        <v>1638</v>
      </c>
      <c r="V432" s="59">
        <v>1938</v>
      </c>
      <c r="W432" s="59">
        <v>2044</v>
      </c>
      <c r="X432" s="59">
        <v>2106</v>
      </c>
      <c r="Y432" s="171">
        <v>2045</v>
      </c>
    </row>
    <row r="433" spans="2:25" s="5" customFormat="1" x14ac:dyDescent="0.25">
      <c r="B433" s="71"/>
      <c r="G433" s="5" t="s">
        <v>297</v>
      </c>
      <c r="H433" s="5" t="s">
        <v>1118</v>
      </c>
      <c r="I433" s="59">
        <v>173</v>
      </c>
      <c r="J433" s="59">
        <v>162</v>
      </c>
      <c r="K433" s="59">
        <v>192</v>
      </c>
      <c r="L433" s="59">
        <v>138</v>
      </c>
      <c r="M433" s="59">
        <v>149</v>
      </c>
      <c r="N433" s="59">
        <v>108</v>
      </c>
      <c r="O433" s="59">
        <v>126</v>
      </c>
      <c r="P433" s="59">
        <v>108</v>
      </c>
      <c r="Q433" s="59">
        <v>103</v>
      </c>
      <c r="R433" s="59">
        <v>141</v>
      </c>
      <c r="S433" s="59">
        <v>123</v>
      </c>
      <c r="T433" s="59">
        <v>113</v>
      </c>
      <c r="U433" s="59">
        <v>120</v>
      </c>
      <c r="V433" s="59">
        <v>126</v>
      </c>
      <c r="W433" s="59">
        <v>145</v>
      </c>
      <c r="X433" s="59">
        <v>174</v>
      </c>
      <c r="Y433" s="5">
        <v>190</v>
      </c>
    </row>
    <row r="434" spans="2:25" s="5" customFormat="1" x14ac:dyDescent="0.25">
      <c r="B434" s="71"/>
      <c r="G434" s="5" t="s">
        <v>1100</v>
      </c>
      <c r="H434" s="5" t="s">
        <v>1118</v>
      </c>
      <c r="I434" s="59">
        <v>120</v>
      </c>
      <c r="J434" s="59">
        <v>138</v>
      </c>
      <c r="K434" s="59">
        <v>116</v>
      </c>
      <c r="L434" s="59">
        <v>122</v>
      </c>
      <c r="M434" s="59">
        <v>143</v>
      </c>
      <c r="N434" s="59">
        <v>183</v>
      </c>
      <c r="O434" s="59">
        <v>178</v>
      </c>
      <c r="P434" s="59">
        <v>172</v>
      </c>
      <c r="Q434" s="59">
        <v>160</v>
      </c>
      <c r="R434" s="59">
        <v>166</v>
      </c>
      <c r="S434" s="59">
        <v>155</v>
      </c>
      <c r="T434" s="59">
        <v>183</v>
      </c>
      <c r="U434" s="59">
        <v>170</v>
      </c>
      <c r="V434" s="59">
        <v>166</v>
      </c>
      <c r="W434" s="59">
        <v>198</v>
      </c>
      <c r="X434" s="59">
        <v>176</v>
      </c>
      <c r="Y434" s="5">
        <v>189</v>
      </c>
    </row>
    <row r="435" spans="2:25" s="5" customFormat="1" x14ac:dyDescent="0.25">
      <c r="B435" s="71"/>
      <c r="G435" s="5" t="s">
        <v>1101</v>
      </c>
      <c r="H435" s="5" t="s">
        <v>1118</v>
      </c>
      <c r="I435" s="59">
        <v>1617</v>
      </c>
      <c r="J435" s="59">
        <v>1714</v>
      </c>
      <c r="K435" s="59">
        <v>1667</v>
      </c>
      <c r="L435" s="59">
        <v>1656</v>
      </c>
      <c r="M435" s="59">
        <v>1648</v>
      </c>
      <c r="N435" s="59">
        <v>1800</v>
      </c>
      <c r="O435" s="59">
        <v>2043</v>
      </c>
      <c r="P435" s="59">
        <v>1704</v>
      </c>
      <c r="Q435" s="59">
        <v>1620</v>
      </c>
      <c r="R435" s="59">
        <v>1584</v>
      </c>
      <c r="S435" s="59">
        <v>1613</v>
      </c>
      <c r="T435" s="59">
        <v>1581</v>
      </c>
      <c r="U435" s="59">
        <v>1706</v>
      </c>
      <c r="V435" s="59">
        <v>1817</v>
      </c>
      <c r="W435" s="59">
        <v>1732</v>
      </c>
      <c r="X435" s="59">
        <v>1730</v>
      </c>
      <c r="Y435" s="171">
        <v>1861</v>
      </c>
    </row>
    <row r="436" spans="2:25" s="5" customFormat="1" x14ac:dyDescent="0.25">
      <c r="B436" s="71"/>
      <c r="G436" s="5" t="s">
        <v>1102</v>
      </c>
      <c r="H436" s="5" t="s">
        <v>1118</v>
      </c>
      <c r="I436" s="59">
        <v>330</v>
      </c>
      <c r="J436" s="59">
        <v>398</v>
      </c>
      <c r="K436" s="59">
        <v>389</v>
      </c>
      <c r="L436" s="59">
        <v>397</v>
      </c>
      <c r="M436" s="59">
        <v>382</v>
      </c>
      <c r="N436" s="59">
        <v>366</v>
      </c>
      <c r="O436" s="59">
        <v>354</v>
      </c>
      <c r="P436" s="59">
        <v>366</v>
      </c>
      <c r="Q436" s="59">
        <v>308</v>
      </c>
      <c r="R436" s="59">
        <v>343</v>
      </c>
      <c r="S436" s="59">
        <v>397</v>
      </c>
      <c r="T436" s="59">
        <v>404</v>
      </c>
      <c r="U436" s="59">
        <v>403</v>
      </c>
      <c r="V436" s="59">
        <v>466</v>
      </c>
      <c r="W436" s="59">
        <v>444</v>
      </c>
      <c r="X436" s="59">
        <v>520</v>
      </c>
      <c r="Y436" s="5">
        <v>551</v>
      </c>
    </row>
    <row r="437" spans="2:25" s="5" customFormat="1" x14ac:dyDescent="0.25">
      <c r="B437" s="71"/>
      <c r="G437" s="5" t="s">
        <v>301</v>
      </c>
      <c r="H437" s="5" t="s">
        <v>1118</v>
      </c>
      <c r="I437" s="59">
        <v>339</v>
      </c>
      <c r="J437" s="59">
        <v>321</v>
      </c>
      <c r="K437" s="59">
        <v>308</v>
      </c>
      <c r="L437" s="59">
        <v>317</v>
      </c>
      <c r="M437" s="59">
        <v>310</v>
      </c>
      <c r="N437" s="59">
        <v>314</v>
      </c>
      <c r="O437" s="59">
        <v>308</v>
      </c>
      <c r="P437" s="59">
        <v>289</v>
      </c>
      <c r="Q437" s="59">
        <v>259</v>
      </c>
      <c r="R437" s="59">
        <v>302</v>
      </c>
      <c r="S437" s="59">
        <v>293</v>
      </c>
      <c r="T437" s="59">
        <v>271</v>
      </c>
      <c r="U437" s="59">
        <v>292</v>
      </c>
      <c r="V437" s="59">
        <v>254</v>
      </c>
      <c r="W437" s="59">
        <v>262</v>
      </c>
      <c r="X437" s="59">
        <v>262</v>
      </c>
      <c r="Y437" s="5">
        <v>254</v>
      </c>
    </row>
    <row r="438" spans="2:25" s="5" customFormat="1" x14ac:dyDescent="0.25">
      <c r="B438" s="71"/>
      <c r="G438" s="5" t="s">
        <v>1103</v>
      </c>
      <c r="H438" s="5" t="s">
        <v>1118</v>
      </c>
      <c r="I438" s="59">
        <v>408</v>
      </c>
      <c r="J438" s="59">
        <v>433</v>
      </c>
      <c r="K438" s="59">
        <v>453</v>
      </c>
      <c r="L438" s="59">
        <v>445</v>
      </c>
      <c r="M438" s="59">
        <v>475</v>
      </c>
      <c r="N438" s="59">
        <v>510</v>
      </c>
      <c r="O438" s="59">
        <v>555</v>
      </c>
      <c r="P438" s="59">
        <v>450</v>
      </c>
      <c r="Q438" s="59">
        <v>382</v>
      </c>
      <c r="R438" s="59">
        <v>418</v>
      </c>
      <c r="S438" s="59">
        <v>381</v>
      </c>
      <c r="T438" s="59">
        <v>408</v>
      </c>
      <c r="U438" s="59">
        <v>427</v>
      </c>
      <c r="V438" s="59">
        <v>471</v>
      </c>
      <c r="W438" s="59">
        <v>446</v>
      </c>
      <c r="X438" s="59">
        <v>470</v>
      </c>
      <c r="Y438" s="5">
        <v>522</v>
      </c>
    </row>
    <row r="439" spans="2:25" s="5" customFormat="1" x14ac:dyDescent="0.25">
      <c r="B439" s="71"/>
      <c r="G439" s="5" t="s">
        <v>1104</v>
      </c>
      <c r="H439" s="5" t="s">
        <v>1118</v>
      </c>
      <c r="I439" s="59">
        <v>322</v>
      </c>
      <c r="J439" s="59">
        <v>340</v>
      </c>
      <c r="K439" s="59">
        <v>334</v>
      </c>
      <c r="L439" s="59">
        <v>353</v>
      </c>
      <c r="M439" s="59">
        <v>377</v>
      </c>
      <c r="N439" s="59">
        <v>366</v>
      </c>
      <c r="O439" s="59">
        <v>393</v>
      </c>
      <c r="P439" s="59">
        <v>302</v>
      </c>
      <c r="Q439" s="59">
        <v>342</v>
      </c>
      <c r="R439" s="59">
        <v>283</v>
      </c>
      <c r="S439" s="59">
        <v>292</v>
      </c>
      <c r="T439" s="59">
        <v>372</v>
      </c>
      <c r="U439" s="59">
        <v>419</v>
      </c>
      <c r="V439" s="59">
        <v>415</v>
      </c>
      <c r="W439" s="59">
        <v>470</v>
      </c>
      <c r="X439" s="59">
        <v>444</v>
      </c>
      <c r="Y439" s="5">
        <v>543</v>
      </c>
    </row>
    <row r="440" spans="2:25" s="5" customFormat="1" x14ac:dyDescent="0.25">
      <c r="B440" s="71"/>
      <c r="G440" s="5" t="s">
        <v>1105</v>
      </c>
      <c r="H440" s="5" t="s">
        <v>1118</v>
      </c>
      <c r="I440" s="59">
        <v>765</v>
      </c>
      <c r="J440" s="59">
        <v>712</v>
      </c>
      <c r="K440" s="59">
        <v>741</v>
      </c>
      <c r="L440" s="59">
        <v>774</v>
      </c>
      <c r="M440" s="59">
        <v>774</v>
      </c>
      <c r="N440" s="59">
        <v>881</v>
      </c>
      <c r="O440" s="59">
        <v>902</v>
      </c>
      <c r="P440" s="59">
        <v>795</v>
      </c>
      <c r="Q440" s="59">
        <v>855</v>
      </c>
      <c r="R440" s="59">
        <v>779</v>
      </c>
      <c r="S440" s="59">
        <v>835</v>
      </c>
      <c r="T440" s="59">
        <v>871</v>
      </c>
      <c r="U440" s="59">
        <v>949</v>
      </c>
      <c r="V440" s="59">
        <v>919</v>
      </c>
      <c r="W440" s="59">
        <v>904</v>
      </c>
      <c r="X440" s="59">
        <v>954</v>
      </c>
      <c r="Y440" s="5">
        <v>996</v>
      </c>
    </row>
    <row r="441" spans="2:25" s="5" customFormat="1" x14ac:dyDescent="0.25">
      <c r="B441" s="71"/>
      <c r="G441" s="5" t="s">
        <v>1106</v>
      </c>
      <c r="H441" s="5" t="s">
        <v>1118</v>
      </c>
      <c r="I441" s="59">
        <v>62</v>
      </c>
      <c r="J441" s="59">
        <v>43</v>
      </c>
      <c r="K441" s="59">
        <v>65</v>
      </c>
      <c r="L441" s="59">
        <v>77</v>
      </c>
      <c r="M441" s="59">
        <v>85</v>
      </c>
      <c r="N441" s="59">
        <v>84</v>
      </c>
      <c r="O441" s="59">
        <v>37</v>
      </c>
      <c r="P441" s="59">
        <v>66</v>
      </c>
      <c r="Q441" s="59">
        <v>44</v>
      </c>
      <c r="R441" s="59">
        <v>55</v>
      </c>
      <c r="S441" s="59">
        <v>50</v>
      </c>
      <c r="T441" s="59">
        <v>61</v>
      </c>
      <c r="U441" s="59">
        <v>38</v>
      </c>
      <c r="V441" s="59">
        <v>41</v>
      </c>
      <c r="W441" s="59">
        <v>27</v>
      </c>
      <c r="X441" s="59">
        <v>35</v>
      </c>
      <c r="Y441" s="5">
        <v>33</v>
      </c>
    </row>
    <row r="442" spans="2:25" s="5" customFormat="1" x14ac:dyDescent="0.25">
      <c r="B442" s="71"/>
      <c r="G442" s="5" t="s">
        <v>1107</v>
      </c>
      <c r="H442" s="5" t="s">
        <v>1118</v>
      </c>
      <c r="I442" s="59">
        <v>448</v>
      </c>
      <c r="J442" s="59">
        <v>451</v>
      </c>
      <c r="K442" s="59">
        <v>503</v>
      </c>
      <c r="L442" s="59">
        <v>498</v>
      </c>
      <c r="M442" s="59">
        <v>556</v>
      </c>
      <c r="N442" s="59">
        <v>614</v>
      </c>
      <c r="O442" s="59">
        <v>566</v>
      </c>
      <c r="P442" s="59">
        <v>577</v>
      </c>
      <c r="Q442" s="59">
        <v>542</v>
      </c>
      <c r="R442" s="59">
        <v>552</v>
      </c>
      <c r="S442" s="59">
        <v>577</v>
      </c>
      <c r="T442" s="59">
        <v>650</v>
      </c>
      <c r="U442" s="59">
        <v>680</v>
      </c>
      <c r="V442" s="59">
        <v>684</v>
      </c>
      <c r="W442" s="59">
        <v>865</v>
      </c>
      <c r="X442" s="59">
        <v>821</v>
      </c>
      <c r="Y442" s="5">
        <v>746</v>
      </c>
    </row>
    <row r="443" spans="2:25" s="5" customFormat="1" x14ac:dyDescent="0.25">
      <c r="B443" s="71"/>
      <c r="G443" s="5" t="s">
        <v>1108</v>
      </c>
      <c r="H443" s="5" t="s">
        <v>1118</v>
      </c>
      <c r="I443" s="59">
        <v>551</v>
      </c>
      <c r="J443" s="59">
        <v>633</v>
      </c>
      <c r="K443" s="59">
        <v>732</v>
      </c>
      <c r="L443" s="59">
        <v>740</v>
      </c>
      <c r="M443" s="59">
        <v>760</v>
      </c>
      <c r="N443" s="59">
        <v>798</v>
      </c>
      <c r="O443" s="59">
        <v>796</v>
      </c>
      <c r="P443" s="59">
        <v>793</v>
      </c>
      <c r="Q443" s="59">
        <v>781</v>
      </c>
      <c r="R443" s="59">
        <v>802</v>
      </c>
      <c r="S443" s="59">
        <v>863</v>
      </c>
      <c r="T443" s="59">
        <v>943</v>
      </c>
      <c r="U443" s="59">
        <v>1014</v>
      </c>
      <c r="V443" s="59">
        <v>927</v>
      </c>
      <c r="W443" s="59">
        <v>962</v>
      </c>
      <c r="X443" s="59">
        <v>1006</v>
      </c>
      <c r="Y443" s="5">
        <v>981</v>
      </c>
    </row>
    <row r="444" spans="2:25" s="5" customFormat="1" x14ac:dyDescent="0.25">
      <c r="B444" s="71"/>
      <c r="G444" s="5" t="s">
        <v>1109</v>
      </c>
      <c r="H444" s="5" t="s">
        <v>1118</v>
      </c>
      <c r="I444" s="59">
        <v>920</v>
      </c>
      <c r="J444" s="59">
        <v>999</v>
      </c>
      <c r="K444" s="59">
        <v>994</v>
      </c>
      <c r="L444" s="59">
        <v>1029</v>
      </c>
      <c r="M444" s="59">
        <v>1034</v>
      </c>
      <c r="N444" s="59">
        <v>1031</v>
      </c>
      <c r="O444" s="59">
        <v>1003</v>
      </c>
      <c r="P444" s="59">
        <v>1109</v>
      </c>
      <c r="Q444" s="59">
        <v>1182</v>
      </c>
      <c r="R444" s="59">
        <v>1136</v>
      </c>
      <c r="S444" s="59">
        <v>1214</v>
      </c>
      <c r="T444" s="59">
        <v>1234</v>
      </c>
      <c r="U444" s="59">
        <v>1328</v>
      </c>
      <c r="V444" s="59">
        <v>1348</v>
      </c>
      <c r="W444" s="59">
        <v>1414</v>
      </c>
      <c r="X444" s="59">
        <v>1460</v>
      </c>
      <c r="Y444" s="171">
        <v>1513</v>
      </c>
    </row>
    <row r="445" spans="2:25" s="5" customFormat="1" x14ac:dyDescent="0.25">
      <c r="B445" s="71"/>
      <c r="G445" s="5" t="s">
        <v>1110</v>
      </c>
      <c r="H445" s="5" t="s">
        <v>1118</v>
      </c>
      <c r="I445" s="59">
        <v>224</v>
      </c>
      <c r="J445" s="59">
        <v>224</v>
      </c>
      <c r="K445" s="59">
        <v>258</v>
      </c>
      <c r="L445" s="59">
        <v>301</v>
      </c>
      <c r="M445" s="59">
        <v>334</v>
      </c>
      <c r="N445" s="59">
        <v>366</v>
      </c>
      <c r="O445" s="59">
        <v>429</v>
      </c>
      <c r="P445" s="59">
        <v>323</v>
      </c>
      <c r="Q445" s="59">
        <v>510</v>
      </c>
      <c r="R445" s="59">
        <v>783</v>
      </c>
      <c r="S445" s="59">
        <v>714</v>
      </c>
      <c r="T445" s="59">
        <v>722</v>
      </c>
      <c r="U445" s="59">
        <v>713</v>
      </c>
      <c r="V445" s="59">
        <v>684</v>
      </c>
      <c r="W445" s="59">
        <v>691</v>
      </c>
      <c r="X445" s="59">
        <v>1013</v>
      </c>
      <c r="Y445" s="171">
        <v>1023</v>
      </c>
    </row>
    <row r="446" spans="2:25" s="5" customFormat="1" x14ac:dyDescent="0.25">
      <c r="B446" s="71"/>
      <c r="G446" s="5" t="s">
        <v>1111</v>
      </c>
      <c r="H446" s="5" t="s">
        <v>1118</v>
      </c>
      <c r="I446" s="59">
        <v>4220</v>
      </c>
      <c r="J446" s="59">
        <v>4504</v>
      </c>
      <c r="K446" s="59">
        <v>4974</v>
      </c>
      <c r="L446" s="59">
        <v>5069</v>
      </c>
      <c r="M446" s="59">
        <v>5129</v>
      </c>
      <c r="N446" s="59">
        <v>4770</v>
      </c>
      <c r="O446" s="59">
        <v>5466</v>
      </c>
      <c r="P446" s="59">
        <v>4936</v>
      </c>
      <c r="Q446" s="59">
        <v>4972</v>
      </c>
      <c r="R446" s="59">
        <v>4921</v>
      </c>
      <c r="S446" s="59">
        <v>4971</v>
      </c>
      <c r="T446" s="59">
        <v>5125</v>
      </c>
      <c r="U446" s="59">
        <v>5654</v>
      </c>
      <c r="V446" s="59">
        <v>5657</v>
      </c>
      <c r="W446" s="59">
        <v>5530</v>
      </c>
      <c r="X446" s="59">
        <v>5684</v>
      </c>
      <c r="Y446" s="171">
        <v>5659</v>
      </c>
    </row>
    <row r="447" spans="2:25" s="5" customFormat="1" x14ac:dyDescent="0.25">
      <c r="B447" s="71"/>
      <c r="G447" s="5" t="s">
        <v>1112</v>
      </c>
      <c r="H447" s="5" t="s">
        <v>1118</v>
      </c>
      <c r="I447" s="59">
        <v>461</v>
      </c>
      <c r="J447" s="59">
        <v>472</v>
      </c>
      <c r="K447" s="59">
        <v>501</v>
      </c>
      <c r="L447" s="59">
        <v>511</v>
      </c>
      <c r="M447" s="59">
        <v>512</v>
      </c>
      <c r="N447" s="59">
        <v>529</v>
      </c>
      <c r="O447" s="59">
        <v>502</v>
      </c>
      <c r="P447" s="59">
        <v>493</v>
      </c>
      <c r="Q447" s="59">
        <v>496</v>
      </c>
      <c r="R447" s="59">
        <v>558</v>
      </c>
      <c r="S447" s="59">
        <v>536</v>
      </c>
      <c r="T447" s="59">
        <v>518</v>
      </c>
      <c r="U447" s="59">
        <v>579</v>
      </c>
      <c r="V447" s="59">
        <v>554</v>
      </c>
      <c r="W447" s="59">
        <v>519</v>
      </c>
      <c r="X447" s="59">
        <v>575</v>
      </c>
      <c r="Y447" s="5">
        <v>605</v>
      </c>
    </row>
    <row r="448" spans="2:25" s="5" customFormat="1" x14ac:dyDescent="0.25">
      <c r="B448" s="71"/>
      <c r="G448" s="5" t="s">
        <v>1113</v>
      </c>
      <c r="H448" s="5" t="s">
        <v>1118</v>
      </c>
      <c r="I448" s="59">
        <v>545</v>
      </c>
      <c r="J448" s="59">
        <v>583</v>
      </c>
      <c r="K448" s="59">
        <v>590</v>
      </c>
      <c r="L448" s="59">
        <v>661</v>
      </c>
      <c r="M448" s="59">
        <v>610</v>
      </c>
      <c r="N448" s="59">
        <v>655</v>
      </c>
      <c r="O448" s="59">
        <v>648</v>
      </c>
      <c r="P448" s="59">
        <v>659</v>
      </c>
      <c r="Q448" s="59">
        <v>699</v>
      </c>
      <c r="R448" s="59">
        <v>740</v>
      </c>
      <c r="S448" s="59">
        <v>736</v>
      </c>
      <c r="T448" s="59">
        <v>759</v>
      </c>
      <c r="U448" s="59">
        <v>765</v>
      </c>
      <c r="V448" s="59">
        <v>766</v>
      </c>
      <c r="W448" s="59">
        <v>747</v>
      </c>
      <c r="X448" s="59">
        <v>783</v>
      </c>
      <c r="Y448" s="5">
        <v>761</v>
      </c>
    </row>
    <row r="449" spans="2:25" s="5" customFormat="1" x14ac:dyDescent="0.25">
      <c r="B449" s="71"/>
      <c r="D449" s="5" t="s">
        <v>379</v>
      </c>
      <c r="H449" s="5" t="s">
        <v>1118</v>
      </c>
      <c r="I449" s="59">
        <v>270</v>
      </c>
      <c r="J449" s="59">
        <v>306</v>
      </c>
      <c r="K449" s="59">
        <v>318</v>
      </c>
      <c r="L449" s="59">
        <v>325</v>
      </c>
      <c r="M449" s="59">
        <v>390</v>
      </c>
      <c r="N449" s="59">
        <v>86</v>
      </c>
      <c r="O449" s="59">
        <v>346</v>
      </c>
      <c r="P449" s="59">
        <v>346</v>
      </c>
      <c r="Q449" s="59">
        <v>615</v>
      </c>
      <c r="R449" s="59">
        <v>688</v>
      </c>
      <c r="S449" s="59">
        <v>360</v>
      </c>
      <c r="T449" s="59">
        <v>309</v>
      </c>
      <c r="U449" s="59">
        <v>340</v>
      </c>
      <c r="V449" s="59">
        <v>368</v>
      </c>
      <c r="W449" s="59">
        <v>312</v>
      </c>
      <c r="X449" s="59">
        <v>308</v>
      </c>
      <c r="Y449" s="290">
        <v>1573</v>
      </c>
    </row>
    <row r="450" spans="2:25" s="5" customFormat="1" x14ac:dyDescent="0.25">
      <c r="B450" s="71"/>
      <c r="G450" s="5" t="s">
        <v>1098</v>
      </c>
      <c r="H450" s="5" t="s">
        <v>1118</v>
      </c>
      <c r="I450" s="59">
        <v>0</v>
      </c>
      <c r="J450" s="59">
        <v>0</v>
      </c>
      <c r="K450" s="59">
        <v>0</v>
      </c>
      <c r="L450" s="59">
        <v>0</v>
      </c>
      <c r="M450" s="59">
        <v>0</v>
      </c>
      <c r="N450" s="59">
        <v>0</v>
      </c>
      <c r="O450" s="59">
        <v>0</v>
      </c>
      <c r="P450" s="59">
        <v>0</v>
      </c>
      <c r="Q450" s="59">
        <v>0</v>
      </c>
      <c r="R450" s="59">
        <v>2</v>
      </c>
      <c r="S450" s="59">
        <v>0</v>
      </c>
      <c r="T450" s="59">
        <v>0</v>
      </c>
      <c r="U450" s="59">
        <v>0</v>
      </c>
      <c r="V450" s="59">
        <v>0</v>
      </c>
      <c r="W450" s="59">
        <v>0</v>
      </c>
      <c r="X450" s="59">
        <v>0</v>
      </c>
      <c r="Y450" s="5">
        <v>0</v>
      </c>
    </row>
    <row r="451" spans="2:25" s="5" customFormat="1" x14ac:dyDescent="0.25">
      <c r="B451" s="71"/>
      <c r="G451" s="5" t="s">
        <v>1099</v>
      </c>
      <c r="H451" s="5" t="s">
        <v>1118</v>
      </c>
      <c r="I451" s="59">
        <v>0</v>
      </c>
      <c r="J451" s="59">
        <v>0</v>
      </c>
      <c r="K451" s="59">
        <v>0</v>
      </c>
      <c r="L451" s="59">
        <v>0</v>
      </c>
      <c r="M451" s="59">
        <v>0</v>
      </c>
      <c r="N451" s="59">
        <v>5</v>
      </c>
      <c r="O451" s="59">
        <v>0</v>
      </c>
      <c r="P451" s="59">
        <v>0</v>
      </c>
      <c r="Q451" s="59">
        <v>0</v>
      </c>
      <c r="R451" s="59">
        <v>0</v>
      </c>
      <c r="S451" s="59">
        <v>0</v>
      </c>
      <c r="T451" s="59">
        <v>0</v>
      </c>
      <c r="U451" s="59">
        <v>0</v>
      </c>
      <c r="V451" s="59">
        <v>0</v>
      </c>
      <c r="W451" s="59">
        <v>0</v>
      </c>
      <c r="X451" s="59">
        <v>0</v>
      </c>
      <c r="Y451" s="5">
        <v>0</v>
      </c>
    </row>
    <row r="452" spans="2:25" s="5" customFormat="1" x14ac:dyDescent="0.25">
      <c r="B452" s="71"/>
      <c r="G452" s="5" t="s">
        <v>295</v>
      </c>
      <c r="H452" s="5" t="s">
        <v>1118</v>
      </c>
      <c r="I452" s="59">
        <v>0</v>
      </c>
      <c r="J452" s="59">
        <v>0</v>
      </c>
      <c r="K452" s="59">
        <v>0</v>
      </c>
      <c r="L452" s="59">
        <v>0</v>
      </c>
      <c r="M452" s="59">
        <v>0</v>
      </c>
      <c r="N452" s="59">
        <v>0</v>
      </c>
      <c r="O452" s="59">
        <v>0</v>
      </c>
      <c r="P452" s="59">
        <v>0</v>
      </c>
      <c r="Q452" s="59">
        <v>0</v>
      </c>
      <c r="R452" s="59">
        <v>0</v>
      </c>
      <c r="S452" s="59">
        <v>0</v>
      </c>
      <c r="T452" s="59">
        <v>0</v>
      </c>
      <c r="U452" s="59">
        <v>0</v>
      </c>
      <c r="V452" s="59">
        <v>0</v>
      </c>
      <c r="W452" s="59">
        <v>0</v>
      </c>
      <c r="X452" s="59">
        <v>0</v>
      </c>
      <c r="Y452" s="5">
        <v>0</v>
      </c>
    </row>
    <row r="453" spans="2:25" s="5" customFormat="1" x14ac:dyDescent="0.25">
      <c r="B453" s="71"/>
      <c r="G453" s="5" t="s">
        <v>296</v>
      </c>
      <c r="H453" s="5" t="s">
        <v>1118</v>
      </c>
      <c r="I453" s="59">
        <v>23</v>
      </c>
      <c r="J453" s="59">
        <v>35</v>
      </c>
      <c r="K453" s="59">
        <v>39</v>
      </c>
      <c r="L453" s="59">
        <v>57</v>
      </c>
      <c r="M453" s="59">
        <v>70</v>
      </c>
      <c r="N453" s="59">
        <v>38</v>
      </c>
      <c r="O453" s="59">
        <v>25</v>
      </c>
      <c r="P453" s="59">
        <v>33</v>
      </c>
      <c r="Q453" s="59">
        <v>35</v>
      </c>
      <c r="R453" s="59">
        <v>25</v>
      </c>
      <c r="S453" s="59">
        <v>21</v>
      </c>
      <c r="T453" s="59">
        <v>14</v>
      </c>
      <c r="U453" s="59">
        <v>22</v>
      </c>
      <c r="V453" s="59">
        <v>22</v>
      </c>
      <c r="W453" s="59">
        <v>33</v>
      </c>
      <c r="X453" s="59">
        <v>35</v>
      </c>
      <c r="Y453" s="5">
        <v>22</v>
      </c>
    </row>
    <row r="454" spans="2:25" s="5" customFormat="1" x14ac:dyDescent="0.25">
      <c r="B454" s="71"/>
      <c r="G454" s="5" t="s">
        <v>297</v>
      </c>
      <c r="H454" s="5" t="s">
        <v>1118</v>
      </c>
      <c r="I454" s="59">
        <v>0</v>
      </c>
      <c r="J454" s="59">
        <v>0</v>
      </c>
      <c r="K454" s="59">
        <v>0</v>
      </c>
      <c r="L454" s="59">
        <v>0</v>
      </c>
      <c r="M454" s="59">
        <v>0</v>
      </c>
      <c r="N454" s="59">
        <v>0</v>
      </c>
      <c r="O454" s="59">
        <v>0</v>
      </c>
      <c r="P454" s="59">
        <v>0</v>
      </c>
      <c r="Q454" s="59">
        <v>0</v>
      </c>
      <c r="R454" s="59">
        <v>0</v>
      </c>
      <c r="S454" s="59">
        <v>0</v>
      </c>
      <c r="T454" s="59">
        <v>0</v>
      </c>
      <c r="U454" s="59">
        <v>0</v>
      </c>
      <c r="V454" s="59">
        <v>0</v>
      </c>
      <c r="W454" s="59">
        <v>0</v>
      </c>
      <c r="X454" s="59">
        <v>0</v>
      </c>
      <c r="Y454" s="5">
        <v>0</v>
      </c>
    </row>
    <row r="455" spans="2:25" s="5" customFormat="1" x14ac:dyDescent="0.25">
      <c r="B455" s="71"/>
      <c r="G455" s="5" t="s">
        <v>1100</v>
      </c>
      <c r="H455" s="5" t="s">
        <v>1118</v>
      </c>
      <c r="I455" s="59">
        <v>2</v>
      </c>
      <c r="J455" s="59">
        <v>1</v>
      </c>
      <c r="K455" s="59">
        <v>1</v>
      </c>
      <c r="L455" s="59">
        <v>0</v>
      </c>
      <c r="M455" s="59">
        <v>0</v>
      </c>
      <c r="N455" s="59">
        <v>1</v>
      </c>
      <c r="O455" s="59">
        <v>0</v>
      </c>
      <c r="P455" s="59">
        <v>1</v>
      </c>
      <c r="Q455" s="59">
        <v>2</v>
      </c>
      <c r="R455" s="59">
        <v>6</v>
      </c>
      <c r="S455" s="59">
        <v>5</v>
      </c>
      <c r="T455" s="59">
        <v>5</v>
      </c>
      <c r="U455" s="59">
        <v>2</v>
      </c>
      <c r="V455" s="59">
        <v>2</v>
      </c>
      <c r="W455" s="59">
        <v>3</v>
      </c>
      <c r="X455" s="59">
        <v>3</v>
      </c>
      <c r="Y455" s="5">
        <v>0</v>
      </c>
    </row>
    <row r="456" spans="2:25" s="5" customFormat="1" x14ac:dyDescent="0.25">
      <c r="B456" s="71"/>
      <c r="G456" s="5" t="s">
        <v>1101</v>
      </c>
      <c r="H456" s="5" t="s">
        <v>1118</v>
      </c>
      <c r="I456" s="59">
        <v>0</v>
      </c>
      <c r="J456" s="59">
        <v>0</v>
      </c>
      <c r="K456" s="59">
        <v>0</v>
      </c>
      <c r="L456" s="59">
        <v>0</v>
      </c>
      <c r="M456" s="59">
        <v>0</v>
      </c>
      <c r="N456" s="59">
        <v>0</v>
      </c>
      <c r="O456" s="59">
        <v>0</v>
      </c>
      <c r="P456" s="59">
        <v>0</v>
      </c>
      <c r="Q456" s="59">
        <v>2</v>
      </c>
      <c r="R456" s="59">
        <v>11</v>
      </c>
      <c r="S456" s="59">
        <v>4</v>
      </c>
      <c r="T456" s="59">
        <v>3</v>
      </c>
      <c r="U456" s="59">
        <v>2</v>
      </c>
      <c r="V456" s="59">
        <v>4</v>
      </c>
      <c r="W456" s="59">
        <v>4</v>
      </c>
      <c r="X456" s="59">
        <v>3</v>
      </c>
      <c r="Y456" s="5">
        <v>3</v>
      </c>
    </row>
    <row r="457" spans="2:25" s="5" customFormat="1" x14ac:dyDescent="0.25">
      <c r="B457" s="71"/>
      <c r="G457" s="5" t="s">
        <v>1102</v>
      </c>
      <c r="H457" s="5" t="s">
        <v>1118</v>
      </c>
      <c r="I457" s="59">
        <v>0</v>
      </c>
      <c r="J457" s="59">
        <v>0</v>
      </c>
      <c r="K457" s="59">
        <v>7</v>
      </c>
      <c r="L457" s="59">
        <v>3</v>
      </c>
      <c r="M457" s="59">
        <v>5</v>
      </c>
      <c r="N457" s="59">
        <v>0</v>
      </c>
      <c r="O457" s="59">
        <v>0</v>
      </c>
      <c r="P457" s="59">
        <v>0</v>
      </c>
      <c r="Q457" s="59">
        <v>2</v>
      </c>
      <c r="R457" s="59">
        <v>3</v>
      </c>
      <c r="S457" s="59">
        <v>0</v>
      </c>
      <c r="T457" s="59">
        <v>0</v>
      </c>
      <c r="U457" s="59">
        <v>0</v>
      </c>
      <c r="V457" s="59">
        <v>0</v>
      </c>
      <c r="W457" s="59">
        <v>0</v>
      </c>
      <c r="X457" s="59">
        <v>0</v>
      </c>
      <c r="Y457" s="5">
        <v>0</v>
      </c>
    </row>
    <row r="458" spans="2:25" s="5" customFormat="1" x14ac:dyDescent="0.25">
      <c r="B458" s="71"/>
      <c r="G458" s="5" t="s">
        <v>301</v>
      </c>
      <c r="H458" s="5" t="s">
        <v>1118</v>
      </c>
      <c r="I458" s="59">
        <v>0</v>
      </c>
      <c r="J458" s="59">
        <v>0</v>
      </c>
      <c r="K458" s="59">
        <v>1</v>
      </c>
      <c r="L458" s="59">
        <v>1</v>
      </c>
      <c r="M458" s="59">
        <v>0</v>
      </c>
      <c r="N458" s="59">
        <v>0</v>
      </c>
      <c r="O458" s="59">
        <v>0</v>
      </c>
      <c r="P458" s="59">
        <v>0</v>
      </c>
      <c r="Q458" s="59">
        <v>0</v>
      </c>
      <c r="R458" s="59">
        <v>1</v>
      </c>
      <c r="S458" s="59">
        <v>2</v>
      </c>
      <c r="T458" s="59">
        <v>1</v>
      </c>
      <c r="U458" s="59">
        <v>0</v>
      </c>
      <c r="V458" s="59">
        <v>0</v>
      </c>
      <c r="W458" s="59">
        <v>0</v>
      </c>
      <c r="X458" s="59">
        <v>0</v>
      </c>
      <c r="Y458" s="5">
        <v>0</v>
      </c>
    </row>
    <row r="459" spans="2:25" s="5" customFormat="1" x14ac:dyDescent="0.25">
      <c r="B459" s="71"/>
      <c r="G459" s="5" t="s">
        <v>1103</v>
      </c>
      <c r="H459" s="5" t="s">
        <v>1118</v>
      </c>
      <c r="I459" s="59">
        <v>0</v>
      </c>
      <c r="J459" s="59">
        <v>0</v>
      </c>
      <c r="K459" s="59">
        <v>1</v>
      </c>
      <c r="L459" s="59">
        <v>1</v>
      </c>
      <c r="M459" s="59">
        <v>1</v>
      </c>
      <c r="N459" s="59">
        <v>1</v>
      </c>
      <c r="O459" s="59">
        <v>1</v>
      </c>
      <c r="P459" s="59">
        <v>2</v>
      </c>
      <c r="Q459" s="59">
        <v>1</v>
      </c>
      <c r="R459" s="59">
        <v>2</v>
      </c>
      <c r="S459" s="59">
        <v>1</v>
      </c>
      <c r="T459" s="59">
        <v>1</v>
      </c>
      <c r="U459" s="59">
        <v>0</v>
      </c>
      <c r="V459" s="59">
        <v>0</v>
      </c>
      <c r="W459" s="59">
        <v>0</v>
      </c>
      <c r="X459" s="59">
        <v>0</v>
      </c>
      <c r="Y459" s="5">
        <v>5</v>
      </c>
    </row>
    <row r="460" spans="2:25" s="5" customFormat="1" x14ac:dyDescent="0.25">
      <c r="B460" s="71"/>
      <c r="G460" s="5" t="s">
        <v>1104</v>
      </c>
      <c r="H460" s="5" t="s">
        <v>1118</v>
      </c>
      <c r="I460" s="59">
        <v>0</v>
      </c>
      <c r="J460" s="59">
        <v>0</v>
      </c>
      <c r="K460" s="59">
        <v>0</v>
      </c>
      <c r="L460" s="59">
        <v>0</v>
      </c>
      <c r="M460" s="59">
        <v>0</v>
      </c>
      <c r="N460" s="59">
        <v>1</v>
      </c>
      <c r="O460" s="59">
        <v>3</v>
      </c>
      <c r="P460" s="59">
        <v>0</v>
      </c>
      <c r="Q460" s="59">
        <v>0</v>
      </c>
      <c r="R460" s="59">
        <v>0</v>
      </c>
      <c r="S460" s="59">
        <v>1</v>
      </c>
      <c r="T460" s="59">
        <v>1</v>
      </c>
      <c r="U460" s="59">
        <v>0</v>
      </c>
      <c r="V460" s="59">
        <v>0</v>
      </c>
      <c r="W460" s="59">
        <v>1</v>
      </c>
      <c r="X460" s="59">
        <v>3</v>
      </c>
      <c r="Y460" s="5">
        <v>3</v>
      </c>
    </row>
    <row r="461" spans="2:25" s="5" customFormat="1" x14ac:dyDescent="0.25">
      <c r="B461" s="71"/>
      <c r="G461" s="5" t="s">
        <v>1105</v>
      </c>
      <c r="H461" s="5" t="s">
        <v>1118</v>
      </c>
      <c r="I461" s="59">
        <v>7</v>
      </c>
      <c r="J461" s="59">
        <v>4</v>
      </c>
      <c r="K461" s="59">
        <v>4</v>
      </c>
      <c r="L461" s="59">
        <v>6</v>
      </c>
      <c r="M461" s="59">
        <v>4</v>
      </c>
      <c r="N461" s="59">
        <v>5</v>
      </c>
      <c r="O461" s="59">
        <v>8</v>
      </c>
      <c r="P461" s="59">
        <v>10</v>
      </c>
      <c r="Q461" s="59">
        <v>13</v>
      </c>
      <c r="R461" s="59">
        <v>15</v>
      </c>
      <c r="S461" s="59">
        <v>15</v>
      </c>
      <c r="T461" s="59">
        <v>10</v>
      </c>
      <c r="U461" s="59">
        <v>17</v>
      </c>
      <c r="V461" s="59">
        <v>16</v>
      </c>
      <c r="W461" s="59">
        <v>9</v>
      </c>
      <c r="X461" s="59">
        <v>4</v>
      </c>
      <c r="Y461" s="5">
        <v>11</v>
      </c>
    </row>
    <row r="462" spans="2:25" s="5" customFormat="1" x14ac:dyDescent="0.25">
      <c r="B462" s="71"/>
      <c r="G462" s="5" t="s">
        <v>1106</v>
      </c>
      <c r="H462" s="5" t="s">
        <v>1118</v>
      </c>
      <c r="I462" s="59">
        <v>0</v>
      </c>
      <c r="J462" s="59">
        <v>0</v>
      </c>
      <c r="K462" s="59">
        <v>0</v>
      </c>
      <c r="L462" s="59">
        <v>0</v>
      </c>
      <c r="M462" s="59">
        <v>0</v>
      </c>
      <c r="N462" s="59">
        <v>0</v>
      </c>
      <c r="O462" s="59">
        <v>0</v>
      </c>
      <c r="P462" s="59">
        <v>0</v>
      </c>
      <c r="Q462" s="59">
        <v>0</v>
      </c>
      <c r="R462" s="59">
        <v>0</v>
      </c>
      <c r="S462" s="59">
        <v>0</v>
      </c>
      <c r="T462" s="59">
        <v>0</v>
      </c>
      <c r="U462" s="59">
        <v>0</v>
      </c>
      <c r="V462" s="59">
        <v>0</v>
      </c>
      <c r="W462" s="59">
        <v>0</v>
      </c>
      <c r="X462" s="59">
        <v>0</v>
      </c>
      <c r="Y462" s="5">
        <v>0</v>
      </c>
    </row>
    <row r="463" spans="2:25" s="5" customFormat="1" x14ac:dyDescent="0.25">
      <c r="B463" s="71"/>
      <c r="G463" s="5" t="s">
        <v>1107</v>
      </c>
      <c r="H463" s="5" t="s">
        <v>1118</v>
      </c>
      <c r="I463" s="59">
        <v>0</v>
      </c>
      <c r="J463" s="59">
        <v>0</v>
      </c>
      <c r="K463" s="59">
        <v>1</v>
      </c>
      <c r="L463" s="59">
        <v>1</v>
      </c>
      <c r="M463" s="59">
        <v>1</v>
      </c>
      <c r="N463" s="59">
        <v>0</v>
      </c>
      <c r="O463" s="59">
        <v>2</v>
      </c>
      <c r="P463" s="59">
        <v>3</v>
      </c>
      <c r="Q463" s="59">
        <v>0</v>
      </c>
      <c r="R463" s="59">
        <v>1</v>
      </c>
      <c r="S463" s="59">
        <v>4</v>
      </c>
      <c r="T463" s="59">
        <v>5</v>
      </c>
      <c r="U463" s="59">
        <v>3</v>
      </c>
      <c r="V463" s="59">
        <v>0</v>
      </c>
      <c r="W463" s="59">
        <v>0</v>
      </c>
      <c r="X463" s="59">
        <v>2</v>
      </c>
      <c r="Y463" s="5">
        <v>4</v>
      </c>
    </row>
    <row r="464" spans="2:25" s="5" customFormat="1" x14ac:dyDescent="0.25">
      <c r="B464" s="71"/>
      <c r="G464" s="5" t="s">
        <v>1108</v>
      </c>
      <c r="H464" s="5" t="s">
        <v>1118</v>
      </c>
      <c r="I464" s="59">
        <v>1</v>
      </c>
      <c r="J464" s="59">
        <v>3</v>
      </c>
      <c r="K464" s="59">
        <v>2</v>
      </c>
      <c r="L464" s="59">
        <v>2</v>
      </c>
      <c r="M464" s="59">
        <v>2</v>
      </c>
      <c r="N464" s="59">
        <v>2</v>
      </c>
      <c r="O464" s="59">
        <v>1</v>
      </c>
      <c r="P464" s="59">
        <v>1</v>
      </c>
      <c r="Q464" s="59">
        <v>19</v>
      </c>
      <c r="R464" s="59">
        <v>4</v>
      </c>
      <c r="S464" s="59">
        <v>8</v>
      </c>
      <c r="T464" s="59">
        <v>7</v>
      </c>
      <c r="U464" s="59">
        <v>4</v>
      </c>
      <c r="V464" s="59">
        <v>3</v>
      </c>
      <c r="W464" s="59">
        <v>4</v>
      </c>
      <c r="X464" s="59">
        <v>3</v>
      </c>
      <c r="Y464" s="5">
        <v>2</v>
      </c>
    </row>
    <row r="465" spans="2:25" s="5" customFormat="1" x14ac:dyDescent="0.25">
      <c r="B465" s="71"/>
      <c r="G465" s="5" t="s">
        <v>1109</v>
      </c>
      <c r="H465" s="5" t="s">
        <v>1118</v>
      </c>
      <c r="I465" s="59">
        <v>0</v>
      </c>
      <c r="J465" s="59">
        <v>0</v>
      </c>
      <c r="K465" s="59">
        <v>0</v>
      </c>
      <c r="L465" s="59">
        <v>0</v>
      </c>
      <c r="M465" s="59">
        <v>0</v>
      </c>
      <c r="N465" s="59">
        <v>0</v>
      </c>
      <c r="O465" s="59">
        <v>0</v>
      </c>
      <c r="P465" s="59">
        <v>0</v>
      </c>
      <c r="Q465" s="59">
        <v>2</v>
      </c>
      <c r="R465" s="59">
        <v>0</v>
      </c>
      <c r="S465" s="59">
        <v>5</v>
      </c>
      <c r="T465" s="59">
        <v>2</v>
      </c>
      <c r="U465" s="59">
        <v>0</v>
      </c>
      <c r="V465" s="59">
        <v>0</v>
      </c>
      <c r="W465" s="59">
        <v>0</v>
      </c>
      <c r="X465" s="59">
        <v>1</v>
      </c>
      <c r="Y465" s="5">
        <v>0</v>
      </c>
    </row>
    <row r="466" spans="2:25" s="5" customFormat="1" x14ac:dyDescent="0.25">
      <c r="B466" s="71"/>
      <c r="G466" s="5" t="s">
        <v>1110</v>
      </c>
      <c r="H466" s="5" t="s">
        <v>1118</v>
      </c>
      <c r="I466" s="59">
        <v>2</v>
      </c>
      <c r="J466" s="59">
        <v>0</v>
      </c>
      <c r="K466" s="59">
        <v>6</v>
      </c>
      <c r="L466" s="59">
        <v>5</v>
      </c>
      <c r="M466" s="59">
        <v>1</v>
      </c>
      <c r="N466" s="59">
        <v>3</v>
      </c>
      <c r="O466" s="59">
        <v>3</v>
      </c>
      <c r="P466" s="59">
        <v>4</v>
      </c>
      <c r="Q466" s="59">
        <v>4</v>
      </c>
      <c r="R466" s="59">
        <v>103</v>
      </c>
      <c r="S466" s="59">
        <v>13</v>
      </c>
      <c r="T466" s="59">
        <v>11</v>
      </c>
      <c r="U466" s="59">
        <v>9</v>
      </c>
      <c r="V466" s="59">
        <v>25</v>
      </c>
      <c r="W466" s="59">
        <v>12</v>
      </c>
      <c r="X466" s="59">
        <v>8</v>
      </c>
      <c r="Y466" s="5">
        <v>22</v>
      </c>
    </row>
    <row r="467" spans="2:25" s="5" customFormat="1" x14ac:dyDescent="0.25">
      <c r="B467" s="71"/>
      <c r="G467" s="5" t="s">
        <v>1111</v>
      </c>
      <c r="H467" s="5" t="s">
        <v>1118</v>
      </c>
      <c r="I467" s="59">
        <v>235</v>
      </c>
      <c r="J467" s="59">
        <v>262</v>
      </c>
      <c r="K467" s="59">
        <v>253</v>
      </c>
      <c r="L467" s="59">
        <v>249</v>
      </c>
      <c r="M467" s="59">
        <v>306</v>
      </c>
      <c r="N467" s="59">
        <v>30</v>
      </c>
      <c r="O467" s="59">
        <v>295</v>
      </c>
      <c r="P467" s="59">
        <v>285</v>
      </c>
      <c r="Q467" s="59">
        <v>527</v>
      </c>
      <c r="R467" s="59">
        <v>488</v>
      </c>
      <c r="S467" s="59">
        <v>268</v>
      </c>
      <c r="T467" s="59">
        <v>245</v>
      </c>
      <c r="U467" s="59">
        <v>272</v>
      </c>
      <c r="V467" s="59">
        <v>292</v>
      </c>
      <c r="W467" s="59">
        <v>244</v>
      </c>
      <c r="X467" s="59">
        <v>242</v>
      </c>
      <c r="Y467" s="289">
        <v>1488</v>
      </c>
    </row>
    <row r="468" spans="2:25" s="5" customFormat="1" x14ac:dyDescent="0.25">
      <c r="B468" s="71"/>
      <c r="G468" s="5" t="s">
        <v>1112</v>
      </c>
      <c r="H468" s="5" t="s">
        <v>1118</v>
      </c>
      <c r="I468" s="59">
        <v>0</v>
      </c>
      <c r="J468" s="59">
        <v>0</v>
      </c>
      <c r="K468" s="59">
        <v>3</v>
      </c>
      <c r="L468" s="59">
        <v>0</v>
      </c>
      <c r="M468" s="59">
        <v>0</v>
      </c>
      <c r="N468" s="59">
        <v>0</v>
      </c>
      <c r="O468" s="59">
        <v>7</v>
      </c>
      <c r="P468" s="59">
        <v>7</v>
      </c>
      <c r="Q468" s="59">
        <v>7</v>
      </c>
      <c r="R468" s="59">
        <v>12</v>
      </c>
      <c r="S468" s="59">
        <v>5</v>
      </c>
      <c r="T468" s="59">
        <v>1</v>
      </c>
      <c r="U468" s="59">
        <v>3</v>
      </c>
      <c r="V468" s="59">
        <v>3</v>
      </c>
      <c r="W468" s="59">
        <v>1</v>
      </c>
      <c r="X468" s="59">
        <v>4</v>
      </c>
      <c r="Y468" s="5">
        <v>4</v>
      </c>
    </row>
    <row r="469" spans="2:25" s="5" customFormat="1" x14ac:dyDescent="0.25">
      <c r="B469" s="71"/>
      <c r="G469" s="5" t="s">
        <v>1113</v>
      </c>
      <c r="H469" s="5" t="s">
        <v>1118</v>
      </c>
      <c r="I469" s="59">
        <v>0</v>
      </c>
      <c r="J469" s="59">
        <v>1</v>
      </c>
      <c r="K469" s="59">
        <v>0</v>
      </c>
      <c r="L469" s="59">
        <v>0</v>
      </c>
      <c r="M469" s="59">
        <v>0</v>
      </c>
      <c r="N469" s="59">
        <v>0</v>
      </c>
      <c r="O469" s="59">
        <v>1</v>
      </c>
      <c r="P469" s="59">
        <v>0</v>
      </c>
      <c r="Q469" s="59">
        <v>1</v>
      </c>
      <c r="R469" s="59">
        <v>15</v>
      </c>
      <c r="S469" s="59">
        <v>8</v>
      </c>
      <c r="T469" s="59">
        <v>3</v>
      </c>
      <c r="U469" s="59">
        <v>6</v>
      </c>
      <c r="V469" s="59">
        <v>1</v>
      </c>
      <c r="W469" s="59">
        <v>1</v>
      </c>
      <c r="X469" s="59">
        <v>0</v>
      </c>
      <c r="Y469" s="5">
        <v>9</v>
      </c>
    </row>
    <row r="470" spans="2:25" s="5" customFormat="1" x14ac:dyDescent="0.25">
      <c r="B470" s="71"/>
      <c r="D470" s="5" t="s">
        <v>380</v>
      </c>
      <c r="H470" s="5" t="s">
        <v>1118</v>
      </c>
      <c r="I470" s="59">
        <v>13515</v>
      </c>
      <c r="J470" s="59">
        <v>13962</v>
      </c>
      <c r="K470" s="59">
        <v>14254</v>
      </c>
      <c r="L470" s="59">
        <v>14769</v>
      </c>
      <c r="M470" s="59">
        <v>15121</v>
      </c>
      <c r="N470" s="59">
        <v>15389</v>
      </c>
      <c r="O470" s="59">
        <v>16004</v>
      </c>
      <c r="P470" s="59">
        <v>14880</v>
      </c>
      <c r="Q470" s="59">
        <v>14264</v>
      </c>
      <c r="R470" s="59">
        <v>14192</v>
      </c>
      <c r="S470" s="59">
        <v>14671</v>
      </c>
      <c r="T470" s="59">
        <v>15304</v>
      </c>
      <c r="U470" s="59">
        <v>16320</v>
      </c>
      <c r="V470" s="59">
        <v>16700</v>
      </c>
      <c r="W470" s="59">
        <v>16910</v>
      </c>
      <c r="X470" s="59">
        <v>17741</v>
      </c>
      <c r="Y470" s="171">
        <v>16717</v>
      </c>
    </row>
    <row r="471" spans="2:25" s="5" customFormat="1" x14ac:dyDescent="0.25">
      <c r="B471" s="71"/>
      <c r="G471" s="5" t="s">
        <v>1098</v>
      </c>
      <c r="H471" s="5" t="s">
        <v>1118</v>
      </c>
      <c r="I471" s="59">
        <v>43</v>
      </c>
      <c r="J471" s="59">
        <v>73</v>
      </c>
      <c r="K471" s="59">
        <v>58</v>
      </c>
      <c r="L471" s="59">
        <v>63</v>
      </c>
      <c r="M471" s="59">
        <v>72</v>
      </c>
      <c r="N471" s="59">
        <v>67</v>
      </c>
      <c r="O471" s="59">
        <v>60</v>
      </c>
      <c r="P471" s="59">
        <v>54</v>
      </c>
      <c r="Q471" s="59">
        <v>73</v>
      </c>
      <c r="R471" s="59">
        <v>71</v>
      </c>
      <c r="S471" s="59">
        <v>72</v>
      </c>
      <c r="T471" s="59">
        <v>83</v>
      </c>
      <c r="U471" s="59">
        <v>75</v>
      </c>
      <c r="V471" s="59">
        <v>66</v>
      </c>
      <c r="W471" s="59">
        <v>67</v>
      </c>
      <c r="X471" s="59">
        <v>93</v>
      </c>
      <c r="Y471" s="5">
        <v>88</v>
      </c>
    </row>
    <row r="472" spans="2:25" s="5" customFormat="1" x14ac:dyDescent="0.25">
      <c r="B472" s="71"/>
      <c r="G472" s="5" t="s">
        <v>1099</v>
      </c>
      <c r="H472" s="5" t="s">
        <v>1118</v>
      </c>
      <c r="I472" s="59">
        <v>17</v>
      </c>
      <c r="J472" s="59">
        <v>4</v>
      </c>
      <c r="K472" s="59">
        <v>3</v>
      </c>
      <c r="L472" s="59">
        <v>5</v>
      </c>
      <c r="M472" s="59">
        <v>21</v>
      </c>
      <c r="N472" s="59">
        <v>32</v>
      </c>
      <c r="O472" s="59">
        <v>19</v>
      </c>
      <c r="P472" s="59">
        <v>9</v>
      </c>
      <c r="Q472" s="59">
        <v>13</v>
      </c>
      <c r="R472" s="59">
        <v>15</v>
      </c>
      <c r="S472" s="59">
        <v>5</v>
      </c>
      <c r="T472" s="59">
        <v>10</v>
      </c>
      <c r="U472" s="59">
        <v>6</v>
      </c>
      <c r="V472" s="59">
        <v>4</v>
      </c>
      <c r="W472" s="59">
        <v>7</v>
      </c>
      <c r="X472" s="59">
        <v>7</v>
      </c>
      <c r="Y472" s="5">
        <v>12</v>
      </c>
    </row>
    <row r="473" spans="2:25" s="5" customFormat="1" x14ac:dyDescent="0.25">
      <c r="B473" s="71"/>
      <c r="G473" s="5" t="s">
        <v>295</v>
      </c>
      <c r="H473" s="5" t="s">
        <v>1118</v>
      </c>
      <c r="I473" s="59">
        <v>36</v>
      </c>
      <c r="J473" s="59">
        <v>36</v>
      </c>
      <c r="K473" s="59">
        <v>34</v>
      </c>
      <c r="L473" s="59">
        <v>36</v>
      </c>
      <c r="M473" s="59">
        <v>34</v>
      </c>
      <c r="N473" s="59">
        <v>37</v>
      </c>
      <c r="O473" s="59">
        <v>35</v>
      </c>
      <c r="P473" s="59">
        <v>41</v>
      </c>
      <c r="Q473" s="59">
        <v>42</v>
      </c>
      <c r="R473" s="59">
        <v>36</v>
      </c>
      <c r="S473" s="59">
        <v>33</v>
      </c>
      <c r="T473" s="59">
        <v>36</v>
      </c>
      <c r="U473" s="59">
        <v>32</v>
      </c>
      <c r="V473" s="59">
        <v>41</v>
      </c>
      <c r="W473" s="59">
        <v>31</v>
      </c>
      <c r="X473" s="59">
        <v>37</v>
      </c>
      <c r="Y473" s="5">
        <v>40</v>
      </c>
    </row>
    <row r="474" spans="2:25" s="5" customFormat="1" x14ac:dyDescent="0.25">
      <c r="B474" s="71"/>
      <c r="G474" s="5" t="s">
        <v>296</v>
      </c>
      <c r="H474" s="5" t="s">
        <v>1118</v>
      </c>
      <c r="I474" s="59">
        <v>2168</v>
      </c>
      <c r="J474" s="59">
        <v>1999</v>
      </c>
      <c r="K474" s="59">
        <v>1627</v>
      </c>
      <c r="L474" s="59">
        <v>1850</v>
      </c>
      <c r="M474" s="59">
        <v>2041</v>
      </c>
      <c r="N474" s="59">
        <v>2202</v>
      </c>
      <c r="O474" s="59">
        <v>2221</v>
      </c>
      <c r="P474" s="59">
        <v>1958</v>
      </c>
      <c r="Q474" s="59">
        <v>1479</v>
      </c>
      <c r="R474" s="59">
        <v>1268</v>
      </c>
      <c r="S474" s="59">
        <v>1490</v>
      </c>
      <c r="T474" s="59">
        <v>1569</v>
      </c>
      <c r="U474" s="59">
        <v>1616</v>
      </c>
      <c r="V474" s="59">
        <v>1916</v>
      </c>
      <c r="W474" s="59">
        <v>2011</v>
      </c>
      <c r="X474" s="59">
        <v>2071</v>
      </c>
      <c r="Y474" s="171">
        <v>2023</v>
      </c>
    </row>
    <row r="475" spans="2:25" s="5" customFormat="1" x14ac:dyDescent="0.25">
      <c r="B475" s="71"/>
      <c r="G475" s="5" t="s">
        <v>297</v>
      </c>
      <c r="H475" s="5" t="s">
        <v>1118</v>
      </c>
      <c r="I475" s="59">
        <v>173</v>
      </c>
      <c r="J475" s="59">
        <v>162</v>
      </c>
      <c r="K475" s="59">
        <v>192</v>
      </c>
      <c r="L475" s="59">
        <v>138</v>
      </c>
      <c r="M475" s="59">
        <v>149</v>
      </c>
      <c r="N475" s="59">
        <v>108</v>
      </c>
      <c r="O475" s="59">
        <v>126</v>
      </c>
      <c r="P475" s="59">
        <v>108</v>
      </c>
      <c r="Q475" s="59">
        <v>103</v>
      </c>
      <c r="R475" s="59">
        <v>141</v>
      </c>
      <c r="S475" s="59">
        <v>123</v>
      </c>
      <c r="T475" s="59">
        <v>113</v>
      </c>
      <c r="U475" s="59">
        <v>120</v>
      </c>
      <c r="V475" s="59">
        <v>126</v>
      </c>
      <c r="W475" s="59">
        <v>145</v>
      </c>
      <c r="X475" s="59">
        <v>174</v>
      </c>
      <c r="Y475" s="5">
        <v>190</v>
      </c>
    </row>
    <row r="476" spans="2:25" s="5" customFormat="1" x14ac:dyDescent="0.25">
      <c r="B476" s="71"/>
      <c r="G476" s="5" t="s">
        <v>1100</v>
      </c>
      <c r="H476" s="5" t="s">
        <v>1118</v>
      </c>
      <c r="I476" s="59">
        <v>118</v>
      </c>
      <c r="J476" s="59">
        <v>137</v>
      </c>
      <c r="K476" s="59">
        <v>115</v>
      </c>
      <c r="L476" s="59">
        <v>122</v>
      </c>
      <c r="M476" s="59">
        <v>143</v>
      </c>
      <c r="N476" s="59">
        <v>182</v>
      </c>
      <c r="O476" s="59">
        <v>178</v>
      </c>
      <c r="P476" s="59">
        <v>171</v>
      </c>
      <c r="Q476" s="59">
        <v>158</v>
      </c>
      <c r="R476" s="59">
        <v>160</v>
      </c>
      <c r="S476" s="59">
        <v>150</v>
      </c>
      <c r="T476" s="59">
        <v>178</v>
      </c>
      <c r="U476" s="59">
        <v>168</v>
      </c>
      <c r="V476" s="59">
        <v>164</v>
      </c>
      <c r="W476" s="59">
        <v>195</v>
      </c>
      <c r="X476" s="59">
        <v>173</v>
      </c>
      <c r="Y476" s="5">
        <v>189</v>
      </c>
    </row>
    <row r="477" spans="2:25" s="5" customFormat="1" x14ac:dyDescent="0.25">
      <c r="B477" s="71"/>
      <c r="G477" s="5" t="s">
        <v>1101</v>
      </c>
      <c r="H477" s="5" t="s">
        <v>1118</v>
      </c>
      <c r="I477" s="59">
        <v>1617</v>
      </c>
      <c r="J477" s="59">
        <v>1714</v>
      </c>
      <c r="K477" s="59">
        <v>1667</v>
      </c>
      <c r="L477" s="59">
        <v>1656</v>
      </c>
      <c r="M477" s="59">
        <v>1648</v>
      </c>
      <c r="N477" s="59">
        <v>1782</v>
      </c>
      <c r="O477" s="59">
        <v>2016</v>
      </c>
      <c r="P477" s="59">
        <v>1704</v>
      </c>
      <c r="Q477" s="59">
        <v>1618</v>
      </c>
      <c r="R477" s="59">
        <v>1570</v>
      </c>
      <c r="S477" s="59">
        <v>1609</v>
      </c>
      <c r="T477" s="59">
        <v>1578</v>
      </c>
      <c r="U477" s="59">
        <v>1704</v>
      </c>
      <c r="V477" s="59">
        <v>1813</v>
      </c>
      <c r="W477" s="59">
        <v>1728</v>
      </c>
      <c r="X477" s="59">
        <v>1727</v>
      </c>
      <c r="Y477" s="171">
        <v>1858</v>
      </c>
    </row>
    <row r="478" spans="2:25" s="5" customFormat="1" x14ac:dyDescent="0.25">
      <c r="B478" s="71"/>
      <c r="G478" s="5" t="s">
        <v>1102</v>
      </c>
      <c r="H478" s="5" t="s">
        <v>1118</v>
      </c>
      <c r="I478" s="59">
        <v>330</v>
      </c>
      <c r="J478" s="59">
        <v>398</v>
      </c>
      <c r="K478" s="59">
        <v>382</v>
      </c>
      <c r="L478" s="59">
        <v>394</v>
      </c>
      <c r="M478" s="59">
        <v>377</v>
      </c>
      <c r="N478" s="59">
        <v>366</v>
      </c>
      <c r="O478" s="59">
        <v>354</v>
      </c>
      <c r="P478" s="59">
        <v>366</v>
      </c>
      <c r="Q478" s="59">
        <v>306</v>
      </c>
      <c r="R478" s="59">
        <v>340</v>
      </c>
      <c r="S478" s="59">
        <v>397</v>
      </c>
      <c r="T478" s="59">
        <v>404</v>
      </c>
      <c r="U478" s="59">
        <v>403</v>
      </c>
      <c r="V478" s="59">
        <v>466</v>
      </c>
      <c r="W478" s="59">
        <v>444</v>
      </c>
      <c r="X478" s="59">
        <v>520</v>
      </c>
      <c r="Y478" s="5">
        <v>551</v>
      </c>
    </row>
    <row r="479" spans="2:25" s="5" customFormat="1" x14ac:dyDescent="0.25">
      <c r="B479" s="71"/>
      <c r="G479" s="5" t="s">
        <v>301</v>
      </c>
      <c r="H479" s="5" t="s">
        <v>1118</v>
      </c>
      <c r="I479" s="59">
        <v>339</v>
      </c>
      <c r="J479" s="59">
        <v>321</v>
      </c>
      <c r="K479" s="59">
        <v>307</v>
      </c>
      <c r="L479" s="59">
        <v>316</v>
      </c>
      <c r="M479" s="59">
        <v>310</v>
      </c>
      <c r="N479" s="59">
        <v>314</v>
      </c>
      <c r="O479" s="59">
        <v>308</v>
      </c>
      <c r="P479" s="59">
        <v>289</v>
      </c>
      <c r="Q479" s="59">
        <v>256</v>
      </c>
      <c r="R479" s="59">
        <v>300</v>
      </c>
      <c r="S479" s="59">
        <v>291</v>
      </c>
      <c r="T479" s="59">
        <v>270</v>
      </c>
      <c r="U479" s="59">
        <v>292</v>
      </c>
      <c r="V479" s="59">
        <v>254</v>
      </c>
      <c r="W479" s="59">
        <v>262</v>
      </c>
      <c r="X479" s="59">
        <v>262</v>
      </c>
      <c r="Y479" s="5">
        <v>254</v>
      </c>
    </row>
    <row r="480" spans="2:25" s="5" customFormat="1" x14ac:dyDescent="0.25">
      <c r="B480" s="71"/>
      <c r="G480" s="5" t="s">
        <v>1103</v>
      </c>
      <c r="H480" s="5" t="s">
        <v>1118</v>
      </c>
      <c r="I480" s="59">
        <v>403</v>
      </c>
      <c r="J480" s="59">
        <v>428</v>
      </c>
      <c r="K480" s="59">
        <v>448</v>
      </c>
      <c r="L480" s="59">
        <v>441</v>
      </c>
      <c r="M480" s="59">
        <v>471</v>
      </c>
      <c r="N480" s="59">
        <v>507</v>
      </c>
      <c r="O480" s="59">
        <v>551</v>
      </c>
      <c r="P480" s="59">
        <v>444</v>
      </c>
      <c r="Q480" s="59">
        <v>377</v>
      </c>
      <c r="R480" s="59">
        <v>411</v>
      </c>
      <c r="S480" s="59">
        <v>380</v>
      </c>
      <c r="T480" s="59">
        <v>406</v>
      </c>
      <c r="U480" s="59">
        <v>427</v>
      </c>
      <c r="V480" s="59">
        <v>471</v>
      </c>
      <c r="W480" s="59">
        <v>446</v>
      </c>
      <c r="X480" s="59">
        <v>470</v>
      </c>
      <c r="Y480" s="5">
        <v>517</v>
      </c>
    </row>
    <row r="481" spans="2:25" s="5" customFormat="1" x14ac:dyDescent="0.25">
      <c r="B481" s="71"/>
      <c r="G481" s="5" t="s">
        <v>1104</v>
      </c>
      <c r="H481" s="5" t="s">
        <v>1118</v>
      </c>
      <c r="I481" s="59">
        <v>322</v>
      </c>
      <c r="J481" s="59">
        <v>340</v>
      </c>
      <c r="K481" s="59">
        <v>334</v>
      </c>
      <c r="L481" s="59">
        <v>353</v>
      </c>
      <c r="M481" s="59">
        <v>377</v>
      </c>
      <c r="N481" s="59">
        <v>365</v>
      </c>
      <c r="O481" s="59">
        <v>390</v>
      </c>
      <c r="P481" s="59">
        <v>302</v>
      </c>
      <c r="Q481" s="59">
        <v>342</v>
      </c>
      <c r="R481" s="59">
        <v>283</v>
      </c>
      <c r="S481" s="59">
        <v>291</v>
      </c>
      <c r="T481" s="59">
        <v>371</v>
      </c>
      <c r="U481" s="59">
        <v>419</v>
      </c>
      <c r="V481" s="59">
        <v>415</v>
      </c>
      <c r="W481" s="59">
        <v>469</v>
      </c>
      <c r="X481" s="59">
        <v>441</v>
      </c>
      <c r="Y481" s="5">
        <v>540</v>
      </c>
    </row>
    <row r="482" spans="2:25" s="5" customFormat="1" x14ac:dyDescent="0.25">
      <c r="B482" s="71"/>
      <c r="G482" s="5" t="s">
        <v>1105</v>
      </c>
      <c r="H482" s="5" t="s">
        <v>1118</v>
      </c>
      <c r="I482" s="59">
        <v>758</v>
      </c>
      <c r="J482" s="59">
        <v>708</v>
      </c>
      <c r="K482" s="59">
        <v>737</v>
      </c>
      <c r="L482" s="59">
        <v>768</v>
      </c>
      <c r="M482" s="59">
        <v>770</v>
      </c>
      <c r="N482" s="59">
        <v>876</v>
      </c>
      <c r="O482" s="59">
        <v>893</v>
      </c>
      <c r="P482" s="59">
        <v>785</v>
      </c>
      <c r="Q482" s="59">
        <v>842</v>
      </c>
      <c r="R482" s="59">
        <v>764</v>
      </c>
      <c r="S482" s="59">
        <v>817</v>
      </c>
      <c r="T482" s="59">
        <v>855</v>
      </c>
      <c r="U482" s="59">
        <v>932</v>
      </c>
      <c r="V482" s="59">
        <v>903</v>
      </c>
      <c r="W482" s="59">
        <v>895</v>
      </c>
      <c r="X482" s="59">
        <v>946</v>
      </c>
      <c r="Y482" s="5">
        <v>977</v>
      </c>
    </row>
    <row r="483" spans="2:25" s="5" customFormat="1" x14ac:dyDescent="0.25">
      <c r="B483" s="71"/>
      <c r="G483" s="5" t="s">
        <v>1106</v>
      </c>
      <c r="H483" s="5" t="s">
        <v>1118</v>
      </c>
      <c r="I483" s="59">
        <v>62</v>
      </c>
      <c r="J483" s="59">
        <v>43</v>
      </c>
      <c r="K483" s="59">
        <v>65</v>
      </c>
      <c r="L483" s="59">
        <v>77</v>
      </c>
      <c r="M483" s="59">
        <v>85</v>
      </c>
      <c r="N483" s="59">
        <v>84</v>
      </c>
      <c r="O483" s="59">
        <v>37</v>
      </c>
      <c r="P483" s="59">
        <v>66</v>
      </c>
      <c r="Q483" s="59">
        <v>44</v>
      </c>
      <c r="R483" s="59">
        <v>55</v>
      </c>
      <c r="S483" s="59">
        <v>50</v>
      </c>
      <c r="T483" s="59">
        <v>61</v>
      </c>
      <c r="U483" s="59">
        <v>38</v>
      </c>
      <c r="V483" s="59">
        <v>41</v>
      </c>
      <c r="W483" s="59">
        <v>27</v>
      </c>
      <c r="X483" s="59">
        <v>35</v>
      </c>
      <c r="Y483" s="5">
        <v>33</v>
      </c>
    </row>
    <row r="484" spans="2:25" s="5" customFormat="1" x14ac:dyDescent="0.25">
      <c r="B484" s="71"/>
      <c r="G484" s="5" t="s">
        <v>1107</v>
      </c>
      <c r="H484" s="5" t="s">
        <v>1118</v>
      </c>
      <c r="I484" s="59">
        <v>448</v>
      </c>
      <c r="J484" s="59">
        <v>451</v>
      </c>
      <c r="K484" s="59">
        <v>502</v>
      </c>
      <c r="L484" s="59">
        <v>497</v>
      </c>
      <c r="M484" s="59">
        <v>555</v>
      </c>
      <c r="N484" s="59">
        <v>614</v>
      </c>
      <c r="O484" s="59">
        <v>564</v>
      </c>
      <c r="P484" s="59">
        <v>572</v>
      </c>
      <c r="Q484" s="59">
        <v>538</v>
      </c>
      <c r="R484" s="59">
        <v>550</v>
      </c>
      <c r="S484" s="59">
        <v>573</v>
      </c>
      <c r="T484" s="59">
        <v>645</v>
      </c>
      <c r="U484" s="59">
        <v>677</v>
      </c>
      <c r="V484" s="59">
        <v>684</v>
      </c>
      <c r="W484" s="59">
        <v>865</v>
      </c>
      <c r="X484" s="59">
        <v>818</v>
      </c>
      <c r="Y484" s="5">
        <v>742</v>
      </c>
    </row>
    <row r="485" spans="2:25" s="5" customFormat="1" x14ac:dyDescent="0.25">
      <c r="B485" s="71"/>
      <c r="G485" s="5" t="s">
        <v>1108</v>
      </c>
      <c r="H485" s="5" t="s">
        <v>1118</v>
      </c>
      <c r="I485" s="59">
        <v>550</v>
      </c>
      <c r="J485" s="59">
        <v>630</v>
      </c>
      <c r="K485" s="59">
        <v>730</v>
      </c>
      <c r="L485" s="59">
        <v>738</v>
      </c>
      <c r="M485" s="59">
        <v>758</v>
      </c>
      <c r="N485" s="59">
        <v>796</v>
      </c>
      <c r="O485" s="59">
        <v>795</v>
      </c>
      <c r="P485" s="59">
        <v>792</v>
      </c>
      <c r="Q485" s="59">
        <v>762</v>
      </c>
      <c r="R485" s="59">
        <v>798</v>
      </c>
      <c r="S485" s="59">
        <v>855</v>
      </c>
      <c r="T485" s="59">
        <v>936</v>
      </c>
      <c r="U485" s="59">
        <v>1010</v>
      </c>
      <c r="V485" s="59">
        <v>924</v>
      </c>
      <c r="W485" s="59">
        <v>958</v>
      </c>
      <c r="X485" s="59">
        <v>1003</v>
      </c>
      <c r="Y485" s="5">
        <v>979</v>
      </c>
    </row>
    <row r="486" spans="2:25" s="5" customFormat="1" x14ac:dyDescent="0.25">
      <c r="B486" s="71"/>
      <c r="G486" s="5" t="s">
        <v>1109</v>
      </c>
      <c r="H486" s="5" t="s">
        <v>1118</v>
      </c>
      <c r="I486" s="59">
        <v>918</v>
      </c>
      <c r="J486" s="59">
        <v>998</v>
      </c>
      <c r="K486" s="59">
        <v>992</v>
      </c>
      <c r="L486" s="59">
        <v>1028</v>
      </c>
      <c r="M486" s="59">
        <v>1032</v>
      </c>
      <c r="N486" s="59">
        <v>1031</v>
      </c>
      <c r="O486" s="59">
        <v>1003</v>
      </c>
      <c r="P486" s="59">
        <v>1105</v>
      </c>
      <c r="Q486" s="59">
        <v>1173</v>
      </c>
      <c r="R486" s="59">
        <v>1122</v>
      </c>
      <c r="S486" s="59">
        <v>1209</v>
      </c>
      <c r="T486" s="59">
        <v>1232</v>
      </c>
      <c r="U486" s="59">
        <v>1328</v>
      </c>
      <c r="V486" s="59">
        <v>1348</v>
      </c>
      <c r="W486" s="59">
        <v>1414</v>
      </c>
      <c r="X486" s="59">
        <v>1459</v>
      </c>
      <c r="Y486" s="171">
        <v>1513</v>
      </c>
    </row>
    <row r="487" spans="2:25" s="5" customFormat="1" x14ac:dyDescent="0.25">
      <c r="B487" s="71"/>
      <c r="G487" s="5" t="s">
        <v>1110</v>
      </c>
      <c r="H487" s="5" t="s">
        <v>1118</v>
      </c>
      <c r="I487" s="59">
        <v>222</v>
      </c>
      <c r="J487" s="59">
        <v>224</v>
      </c>
      <c r="K487" s="59">
        <v>252</v>
      </c>
      <c r="L487" s="59">
        <v>296</v>
      </c>
      <c r="M487" s="59">
        <v>333</v>
      </c>
      <c r="N487" s="59">
        <v>362</v>
      </c>
      <c r="O487" s="59">
        <v>425</v>
      </c>
      <c r="P487" s="59">
        <v>319</v>
      </c>
      <c r="Q487" s="59">
        <v>506</v>
      </c>
      <c r="R487" s="59">
        <v>665</v>
      </c>
      <c r="S487" s="59">
        <v>613</v>
      </c>
      <c r="T487" s="59">
        <v>625</v>
      </c>
      <c r="U487" s="59">
        <v>595</v>
      </c>
      <c r="V487" s="59">
        <v>595</v>
      </c>
      <c r="W487" s="59">
        <v>635</v>
      </c>
      <c r="X487" s="59">
        <v>944</v>
      </c>
      <c r="Y487" s="5">
        <v>971</v>
      </c>
    </row>
    <row r="488" spans="2:25" s="5" customFormat="1" x14ac:dyDescent="0.25">
      <c r="B488" s="71"/>
      <c r="G488" s="5" t="s">
        <v>1111</v>
      </c>
      <c r="H488" s="5" t="s">
        <v>1118</v>
      </c>
      <c r="I488" s="59">
        <v>3985</v>
      </c>
      <c r="J488" s="59">
        <v>4242</v>
      </c>
      <c r="K488" s="59">
        <v>4721</v>
      </c>
      <c r="L488" s="59">
        <v>4820</v>
      </c>
      <c r="M488" s="59">
        <v>4823</v>
      </c>
      <c r="N488" s="59">
        <v>4480</v>
      </c>
      <c r="O488" s="59">
        <v>4888</v>
      </c>
      <c r="P488" s="59">
        <v>4650</v>
      </c>
      <c r="Q488" s="59">
        <v>4445</v>
      </c>
      <c r="R488" s="59">
        <v>4373</v>
      </c>
      <c r="S488" s="59">
        <v>4464</v>
      </c>
      <c r="T488" s="59">
        <v>4662</v>
      </c>
      <c r="U488" s="59">
        <v>5148</v>
      </c>
      <c r="V488" s="59">
        <v>5153</v>
      </c>
      <c r="W488" s="59">
        <v>5047</v>
      </c>
      <c r="X488" s="59">
        <v>5210</v>
      </c>
      <c r="Y488" s="171">
        <v>3888</v>
      </c>
    </row>
    <row r="489" spans="2:25" s="5" customFormat="1" x14ac:dyDescent="0.25">
      <c r="B489" s="71"/>
      <c r="G489" s="5" t="s">
        <v>1112</v>
      </c>
      <c r="H489" s="5" t="s">
        <v>1118</v>
      </c>
      <c r="I489" s="59">
        <v>461</v>
      </c>
      <c r="J489" s="59">
        <v>472</v>
      </c>
      <c r="K489" s="59">
        <v>498</v>
      </c>
      <c r="L489" s="59">
        <v>510</v>
      </c>
      <c r="M489" s="59">
        <v>512</v>
      </c>
      <c r="N489" s="59">
        <v>529</v>
      </c>
      <c r="O489" s="59">
        <v>495</v>
      </c>
      <c r="P489" s="59">
        <v>486</v>
      </c>
      <c r="Q489" s="59">
        <v>489</v>
      </c>
      <c r="R489" s="59">
        <v>546</v>
      </c>
      <c r="S489" s="59">
        <v>531</v>
      </c>
      <c r="T489" s="59">
        <v>517</v>
      </c>
      <c r="U489" s="59">
        <v>574</v>
      </c>
      <c r="V489" s="59">
        <v>551</v>
      </c>
      <c r="W489" s="59">
        <v>518</v>
      </c>
      <c r="X489" s="59">
        <v>571</v>
      </c>
      <c r="Y489" s="5">
        <v>600</v>
      </c>
    </row>
    <row r="490" spans="2:25" s="5" customFormat="1" x14ac:dyDescent="0.25">
      <c r="B490" s="71"/>
      <c r="G490" s="5" t="s">
        <v>1113</v>
      </c>
      <c r="H490" s="5" t="s">
        <v>1118</v>
      </c>
      <c r="I490" s="59">
        <v>545</v>
      </c>
      <c r="J490" s="59">
        <v>582</v>
      </c>
      <c r="K490" s="59">
        <v>590</v>
      </c>
      <c r="L490" s="59">
        <v>661</v>
      </c>
      <c r="M490" s="59">
        <v>610</v>
      </c>
      <c r="N490" s="59">
        <v>655</v>
      </c>
      <c r="O490" s="59">
        <v>646</v>
      </c>
      <c r="P490" s="59">
        <v>659</v>
      </c>
      <c r="Q490" s="59">
        <v>698</v>
      </c>
      <c r="R490" s="59">
        <v>724</v>
      </c>
      <c r="S490" s="59">
        <v>718</v>
      </c>
      <c r="T490" s="59">
        <v>753</v>
      </c>
      <c r="U490" s="59">
        <v>756</v>
      </c>
      <c r="V490" s="59">
        <v>765</v>
      </c>
      <c r="W490" s="59">
        <v>746</v>
      </c>
      <c r="X490" s="59">
        <v>780</v>
      </c>
      <c r="Y490" s="5">
        <v>752</v>
      </c>
    </row>
    <row r="491" spans="2:25" s="5" customFormat="1" x14ac:dyDescent="0.25">
      <c r="B491" s="71"/>
      <c r="E491" s="5" t="s">
        <v>381</v>
      </c>
      <c r="H491" s="5" t="s">
        <v>1118</v>
      </c>
      <c r="I491" s="59">
        <v>10071</v>
      </c>
      <c r="J491" s="59">
        <v>10306</v>
      </c>
      <c r="K491" s="59">
        <v>10758</v>
      </c>
      <c r="L491" s="59">
        <v>11083</v>
      </c>
      <c r="M491" s="59">
        <v>11390</v>
      </c>
      <c r="N491" s="59">
        <v>10900</v>
      </c>
      <c r="O491" s="59">
        <v>11219</v>
      </c>
      <c r="P491" s="59">
        <v>9845</v>
      </c>
      <c r="Q491" s="59">
        <v>10812</v>
      </c>
      <c r="R491" s="59">
        <v>10049</v>
      </c>
      <c r="S491" s="59">
        <v>9033</v>
      </c>
      <c r="T491" s="59">
        <v>9251</v>
      </c>
      <c r="U491" s="59">
        <v>9933</v>
      </c>
      <c r="V491" s="59">
        <v>10281</v>
      </c>
      <c r="W491" s="59">
        <v>10521</v>
      </c>
      <c r="X491" s="59">
        <v>10970</v>
      </c>
      <c r="Y491" s="5">
        <v>10961</v>
      </c>
    </row>
    <row r="492" spans="2:25" s="5" customFormat="1" x14ac:dyDescent="0.25">
      <c r="B492" s="71"/>
      <c r="G492" s="5" t="s">
        <v>1098</v>
      </c>
      <c r="H492" s="5" t="s">
        <v>1118</v>
      </c>
      <c r="I492" s="59">
        <v>16</v>
      </c>
      <c r="J492" s="59">
        <v>16</v>
      </c>
      <c r="K492" s="59">
        <v>10</v>
      </c>
      <c r="L492" s="59">
        <v>11</v>
      </c>
      <c r="M492" s="59">
        <v>16</v>
      </c>
      <c r="N492" s="59">
        <v>24</v>
      </c>
      <c r="O492" s="59">
        <v>27</v>
      </c>
      <c r="P492" s="59">
        <v>18</v>
      </c>
      <c r="Q492" s="59">
        <v>33</v>
      </c>
      <c r="R492" s="59">
        <v>19</v>
      </c>
      <c r="S492" s="59">
        <v>2</v>
      </c>
      <c r="T492" s="59">
        <v>4</v>
      </c>
      <c r="U492" s="59">
        <v>7</v>
      </c>
      <c r="V492" s="59">
        <v>7</v>
      </c>
      <c r="W492" s="59">
        <v>11</v>
      </c>
      <c r="X492" s="59">
        <v>34</v>
      </c>
      <c r="Y492" s="5">
        <v>35</v>
      </c>
    </row>
    <row r="493" spans="2:25" s="5" customFormat="1" x14ac:dyDescent="0.25">
      <c r="B493" s="71"/>
      <c r="G493" s="5" t="s">
        <v>1099</v>
      </c>
      <c r="H493" s="5" t="s">
        <v>1118</v>
      </c>
      <c r="I493" s="59">
        <v>15</v>
      </c>
      <c r="J493" s="59">
        <v>2</v>
      </c>
      <c r="K493" s="59">
        <v>3</v>
      </c>
      <c r="L493" s="59">
        <v>4</v>
      </c>
      <c r="M493" s="59">
        <v>21</v>
      </c>
      <c r="N493" s="59">
        <v>25</v>
      </c>
      <c r="O493" s="59">
        <v>17</v>
      </c>
      <c r="P493" s="59">
        <v>9</v>
      </c>
      <c r="Q493" s="59">
        <v>13</v>
      </c>
      <c r="R493" s="59">
        <v>7</v>
      </c>
      <c r="S493" s="59">
        <v>2</v>
      </c>
      <c r="T493" s="59">
        <v>6</v>
      </c>
      <c r="U493" s="59">
        <v>2</v>
      </c>
      <c r="V493" s="59">
        <v>3</v>
      </c>
      <c r="W493" s="59">
        <v>1</v>
      </c>
      <c r="X493" s="59">
        <v>3</v>
      </c>
      <c r="Y493" s="5">
        <v>8</v>
      </c>
    </row>
    <row r="494" spans="2:25" s="5" customFormat="1" x14ac:dyDescent="0.25">
      <c r="B494" s="71"/>
      <c r="G494" s="5" t="s">
        <v>295</v>
      </c>
      <c r="H494" s="5" t="s">
        <v>1118</v>
      </c>
      <c r="I494" s="59">
        <v>7</v>
      </c>
      <c r="J494" s="59">
        <v>6</v>
      </c>
      <c r="K494" s="59">
        <v>5</v>
      </c>
      <c r="L494" s="59">
        <v>5</v>
      </c>
      <c r="M494" s="59">
        <v>6</v>
      </c>
      <c r="N494" s="59">
        <v>9</v>
      </c>
      <c r="O494" s="59">
        <v>7</v>
      </c>
      <c r="P494" s="59">
        <v>18</v>
      </c>
      <c r="Q494" s="59">
        <v>5</v>
      </c>
      <c r="R494" s="59">
        <v>21</v>
      </c>
      <c r="S494" s="59">
        <v>0</v>
      </c>
      <c r="T494" s="59">
        <v>1</v>
      </c>
      <c r="U494" s="59">
        <v>0</v>
      </c>
      <c r="V494" s="59">
        <v>0</v>
      </c>
      <c r="W494" s="59">
        <v>0</v>
      </c>
      <c r="X494" s="59">
        <v>0</v>
      </c>
      <c r="Y494" s="5">
        <v>0</v>
      </c>
    </row>
    <row r="495" spans="2:25" s="5" customFormat="1" x14ac:dyDescent="0.25">
      <c r="B495" s="71"/>
      <c r="G495" s="5" t="s">
        <v>296</v>
      </c>
      <c r="H495" s="5" t="s">
        <v>1118</v>
      </c>
      <c r="I495" s="59">
        <v>1402</v>
      </c>
      <c r="J495" s="59">
        <v>1232</v>
      </c>
      <c r="K495" s="59">
        <v>1000</v>
      </c>
      <c r="L495" s="59">
        <v>1135</v>
      </c>
      <c r="M495" s="59">
        <v>1313</v>
      </c>
      <c r="N495" s="59">
        <v>1360</v>
      </c>
      <c r="O495" s="59">
        <v>1377</v>
      </c>
      <c r="P495" s="59">
        <v>1206</v>
      </c>
      <c r="Q495" s="59">
        <v>961</v>
      </c>
      <c r="R495" s="59">
        <v>747</v>
      </c>
      <c r="S495" s="59">
        <v>614</v>
      </c>
      <c r="T495" s="59">
        <v>621</v>
      </c>
      <c r="U495" s="59">
        <v>734</v>
      </c>
      <c r="V495" s="59">
        <v>831</v>
      </c>
      <c r="W495" s="59">
        <v>938</v>
      </c>
      <c r="X495" s="59">
        <v>923</v>
      </c>
      <c r="Y495" s="5">
        <v>916</v>
      </c>
    </row>
    <row r="496" spans="2:25" s="5" customFormat="1" x14ac:dyDescent="0.25">
      <c r="B496" s="71"/>
      <c r="G496" s="5" t="s">
        <v>297</v>
      </c>
      <c r="H496" s="5" t="s">
        <v>1118</v>
      </c>
      <c r="I496" s="59">
        <v>127</v>
      </c>
      <c r="J496" s="59">
        <v>125</v>
      </c>
      <c r="K496" s="59">
        <v>149</v>
      </c>
      <c r="L496" s="59">
        <v>98</v>
      </c>
      <c r="M496" s="59">
        <v>110</v>
      </c>
      <c r="N496" s="59">
        <v>73</v>
      </c>
      <c r="O496" s="59">
        <v>83</v>
      </c>
      <c r="P496" s="59">
        <v>69</v>
      </c>
      <c r="Q496" s="59">
        <v>50</v>
      </c>
      <c r="R496" s="59">
        <v>95</v>
      </c>
      <c r="S496" s="59">
        <v>72</v>
      </c>
      <c r="T496" s="59">
        <v>64</v>
      </c>
      <c r="U496" s="59">
        <v>42</v>
      </c>
      <c r="V496" s="59">
        <v>56</v>
      </c>
      <c r="W496" s="59">
        <v>59</v>
      </c>
      <c r="X496" s="59">
        <v>80</v>
      </c>
      <c r="Y496" s="5">
        <v>79</v>
      </c>
    </row>
    <row r="497" spans="2:25" s="5" customFormat="1" x14ac:dyDescent="0.25">
      <c r="B497" s="71"/>
      <c r="G497" s="5" t="s">
        <v>1100</v>
      </c>
      <c r="H497" s="5" t="s">
        <v>1118</v>
      </c>
      <c r="I497" s="59">
        <v>64</v>
      </c>
      <c r="J497" s="59">
        <v>80</v>
      </c>
      <c r="K497" s="59">
        <v>87</v>
      </c>
      <c r="L497" s="59">
        <v>94</v>
      </c>
      <c r="M497" s="59">
        <v>112</v>
      </c>
      <c r="N497" s="59">
        <v>148</v>
      </c>
      <c r="O497" s="59">
        <v>156</v>
      </c>
      <c r="P497" s="59">
        <v>119</v>
      </c>
      <c r="Q497" s="59">
        <v>108</v>
      </c>
      <c r="R497" s="59">
        <v>103</v>
      </c>
      <c r="S497" s="59">
        <v>93</v>
      </c>
      <c r="T497" s="59">
        <v>109</v>
      </c>
      <c r="U497" s="59">
        <v>102</v>
      </c>
      <c r="V497" s="59">
        <v>105</v>
      </c>
      <c r="W497" s="59">
        <v>121</v>
      </c>
      <c r="X497" s="59">
        <v>113</v>
      </c>
      <c r="Y497" s="5">
        <v>127</v>
      </c>
    </row>
    <row r="498" spans="2:25" s="5" customFormat="1" x14ac:dyDescent="0.25">
      <c r="B498" s="71"/>
      <c r="G498" s="5" t="s">
        <v>1101</v>
      </c>
      <c r="H498" s="5" t="s">
        <v>1118</v>
      </c>
      <c r="I498" s="59">
        <v>1310</v>
      </c>
      <c r="J498" s="59">
        <v>1397</v>
      </c>
      <c r="K498" s="59">
        <v>1361</v>
      </c>
      <c r="L498" s="59">
        <v>1344</v>
      </c>
      <c r="M498" s="59">
        <v>1451</v>
      </c>
      <c r="N498" s="59">
        <v>1597</v>
      </c>
      <c r="O498" s="59">
        <v>1802</v>
      </c>
      <c r="P498" s="59">
        <v>1418</v>
      </c>
      <c r="Q498" s="59">
        <v>1462</v>
      </c>
      <c r="R498" s="59">
        <v>1437</v>
      </c>
      <c r="S498" s="59">
        <v>1385</v>
      </c>
      <c r="T498" s="59">
        <v>1367</v>
      </c>
      <c r="U498" s="59">
        <v>1475</v>
      </c>
      <c r="V498" s="59">
        <v>1544</v>
      </c>
      <c r="W498" s="59">
        <v>1458</v>
      </c>
      <c r="X498" s="59">
        <v>1469</v>
      </c>
      <c r="Y498" s="5">
        <v>1492</v>
      </c>
    </row>
    <row r="499" spans="2:25" s="5" customFormat="1" x14ac:dyDescent="0.25">
      <c r="B499" s="71"/>
      <c r="G499" s="5" t="s">
        <v>1102</v>
      </c>
      <c r="H499" s="5" t="s">
        <v>1118</v>
      </c>
      <c r="I499" s="59">
        <v>116</v>
      </c>
      <c r="J499" s="59">
        <v>131</v>
      </c>
      <c r="K499" s="59">
        <v>139</v>
      </c>
      <c r="L499" s="59">
        <v>143</v>
      </c>
      <c r="M499" s="59">
        <v>112</v>
      </c>
      <c r="N499" s="59">
        <v>113</v>
      </c>
      <c r="O499" s="59">
        <v>100</v>
      </c>
      <c r="P499" s="59">
        <v>122</v>
      </c>
      <c r="Q499" s="59">
        <v>103</v>
      </c>
      <c r="R499" s="59">
        <v>129</v>
      </c>
      <c r="S499" s="59">
        <v>117</v>
      </c>
      <c r="T499" s="59">
        <v>108</v>
      </c>
      <c r="U499" s="59">
        <v>130</v>
      </c>
      <c r="V499" s="59">
        <v>133</v>
      </c>
      <c r="W499" s="59">
        <v>114</v>
      </c>
      <c r="X499" s="59">
        <v>125</v>
      </c>
      <c r="Y499" s="5">
        <v>107</v>
      </c>
    </row>
    <row r="500" spans="2:25" s="5" customFormat="1" x14ac:dyDescent="0.25">
      <c r="B500" s="71"/>
      <c r="G500" s="5" t="s">
        <v>301</v>
      </c>
      <c r="H500" s="5" t="s">
        <v>1118</v>
      </c>
      <c r="I500" s="59">
        <v>321</v>
      </c>
      <c r="J500" s="59">
        <v>313</v>
      </c>
      <c r="K500" s="59">
        <v>299</v>
      </c>
      <c r="L500" s="59">
        <v>298</v>
      </c>
      <c r="M500" s="59">
        <v>289</v>
      </c>
      <c r="N500" s="59">
        <v>288</v>
      </c>
      <c r="O500" s="59">
        <v>296</v>
      </c>
      <c r="P500" s="59">
        <v>258</v>
      </c>
      <c r="Q500" s="59">
        <v>235</v>
      </c>
      <c r="R500" s="59">
        <v>281</v>
      </c>
      <c r="S500" s="59">
        <v>220</v>
      </c>
      <c r="T500" s="59">
        <v>212</v>
      </c>
      <c r="U500" s="59">
        <v>223</v>
      </c>
      <c r="V500" s="59">
        <v>195</v>
      </c>
      <c r="W500" s="59">
        <v>218</v>
      </c>
      <c r="X500" s="59">
        <v>204</v>
      </c>
      <c r="Y500" s="5">
        <v>197</v>
      </c>
    </row>
    <row r="501" spans="2:25" s="5" customFormat="1" x14ac:dyDescent="0.25">
      <c r="B501" s="71"/>
      <c r="G501" s="5" t="s">
        <v>1103</v>
      </c>
      <c r="H501" s="5" t="s">
        <v>1118</v>
      </c>
      <c r="I501" s="59">
        <v>380</v>
      </c>
      <c r="J501" s="59">
        <v>392</v>
      </c>
      <c r="K501" s="59">
        <v>409</v>
      </c>
      <c r="L501" s="59">
        <v>414</v>
      </c>
      <c r="M501" s="59">
        <v>443</v>
      </c>
      <c r="N501" s="59">
        <v>450</v>
      </c>
      <c r="O501" s="59">
        <v>476</v>
      </c>
      <c r="P501" s="59">
        <v>403</v>
      </c>
      <c r="Q501" s="59">
        <v>289</v>
      </c>
      <c r="R501" s="59">
        <v>372</v>
      </c>
      <c r="S501" s="59">
        <v>336</v>
      </c>
      <c r="T501" s="59">
        <v>354</v>
      </c>
      <c r="U501" s="59">
        <v>389</v>
      </c>
      <c r="V501" s="59">
        <v>422</v>
      </c>
      <c r="W501" s="59">
        <v>410</v>
      </c>
      <c r="X501" s="59">
        <v>432</v>
      </c>
      <c r="Y501" s="5">
        <v>486</v>
      </c>
    </row>
    <row r="502" spans="2:25" s="5" customFormat="1" x14ac:dyDescent="0.25">
      <c r="B502" s="71"/>
      <c r="G502" s="5" t="s">
        <v>1104</v>
      </c>
      <c r="H502" s="5" t="s">
        <v>1118</v>
      </c>
      <c r="I502" s="59">
        <v>237</v>
      </c>
      <c r="J502" s="59">
        <v>251</v>
      </c>
      <c r="K502" s="59">
        <v>233</v>
      </c>
      <c r="L502" s="59">
        <v>216</v>
      </c>
      <c r="M502" s="59">
        <v>219</v>
      </c>
      <c r="N502" s="59">
        <v>213</v>
      </c>
      <c r="O502" s="59">
        <v>240</v>
      </c>
      <c r="P502" s="59">
        <v>161</v>
      </c>
      <c r="Q502" s="59">
        <v>194</v>
      </c>
      <c r="R502" s="59">
        <v>139</v>
      </c>
      <c r="S502" s="59">
        <v>153</v>
      </c>
      <c r="T502" s="59">
        <v>198</v>
      </c>
      <c r="U502" s="59">
        <v>206</v>
      </c>
      <c r="V502" s="59">
        <v>212</v>
      </c>
      <c r="W502" s="59">
        <v>273</v>
      </c>
      <c r="X502" s="59">
        <v>284</v>
      </c>
      <c r="Y502" s="5">
        <v>353</v>
      </c>
    </row>
    <row r="503" spans="2:25" s="5" customFormat="1" x14ac:dyDescent="0.25">
      <c r="B503" s="71"/>
      <c r="G503" s="5" t="s">
        <v>1105</v>
      </c>
      <c r="H503" s="5" t="s">
        <v>1118</v>
      </c>
      <c r="I503" s="59">
        <v>629</v>
      </c>
      <c r="J503" s="59">
        <v>584</v>
      </c>
      <c r="K503" s="59">
        <v>602</v>
      </c>
      <c r="L503" s="59">
        <v>616</v>
      </c>
      <c r="M503" s="59">
        <v>611</v>
      </c>
      <c r="N503" s="59">
        <v>700</v>
      </c>
      <c r="O503" s="59">
        <v>710</v>
      </c>
      <c r="P503" s="59">
        <v>573</v>
      </c>
      <c r="Q503" s="59">
        <v>628</v>
      </c>
      <c r="R503" s="59">
        <v>602</v>
      </c>
      <c r="S503" s="59">
        <v>661</v>
      </c>
      <c r="T503" s="59">
        <v>684</v>
      </c>
      <c r="U503" s="59">
        <v>742</v>
      </c>
      <c r="V503" s="59">
        <v>750</v>
      </c>
      <c r="W503" s="59">
        <v>745</v>
      </c>
      <c r="X503" s="59">
        <v>803</v>
      </c>
      <c r="Y503" s="5">
        <v>801</v>
      </c>
    </row>
    <row r="504" spans="2:25" s="5" customFormat="1" x14ac:dyDescent="0.25">
      <c r="B504" s="71"/>
      <c r="G504" s="5" t="s">
        <v>1106</v>
      </c>
      <c r="H504" s="5" t="s">
        <v>1118</v>
      </c>
      <c r="I504" s="59">
        <v>47</v>
      </c>
      <c r="J504" s="59">
        <v>37</v>
      </c>
      <c r="K504" s="59">
        <v>41</v>
      </c>
      <c r="L504" s="59">
        <v>44</v>
      </c>
      <c r="M504" s="59">
        <v>50</v>
      </c>
      <c r="N504" s="59">
        <v>53</v>
      </c>
      <c r="O504" s="59">
        <v>23</v>
      </c>
      <c r="P504" s="59">
        <v>29</v>
      </c>
      <c r="Q504" s="59">
        <v>33</v>
      </c>
      <c r="R504" s="59">
        <v>25</v>
      </c>
      <c r="S504" s="59">
        <v>7</v>
      </c>
      <c r="T504" s="59">
        <v>19</v>
      </c>
      <c r="U504" s="59">
        <v>17</v>
      </c>
      <c r="V504" s="59">
        <v>11</v>
      </c>
      <c r="W504" s="59">
        <v>7</v>
      </c>
      <c r="X504" s="59">
        <v>16</v>
      </c>
      <c r="Y504" s="5">
        <v>13</v>
      </c>
    </row>
    <row r="505" spans="2:25" s="5" customFormat="1" x14ac:dyDescent="0.25">
      <c r="B505" s="71"/>
      <c r="G505" s="5" t="s">
        <v>1107</v>
      </c>
      <c r="H505" s="5" t="s">
        <v>1118</v>
      </c>
      <c r="I505" s="59">
        <v>328</v>
      </c>
      <c r="J505" s="59">
        <v>343</v>
      </c>
      <c r="K505" s="59">
        <v>400</v>
      </c>
      <c r="L505" s="59">
        <v>371</v>
      </c>
      <c r="M505" s="59">
        <v>410</v>
      </c>
      <c r="N505" s="59">
        <v>423</v>
      </c>
      <c r="O505" s="59">
        <v>420</v>
      </c>
      <c r="P505" s="59">
        <v>385</v>
      </c>
      <c r="Q505" s="59">
        <v>392</v>
      </c>
      <c r="R505" s="59">
        <v>429</v>
      </c>
      <c r="S505" s="59">
        <v>409</v>
      </c>
      <c r="T505" s="59">
        <v>481</v>
      </c>
      <c r="U505" s="59">
        <v>492</v>
      </c>
      <c r="V505" s="59">
        <v>456</v>
      </c>
      <c r="W505" s="59">
        <v>553</v>
      </c>
      <c r="X505" s="59">
        <v>531</v>
      </c>
      <c r="Y505" s="5">
        <v>498</v>
      </c>
    </row>
    <row r="506" spans="2:25" s="5" customFormat="1" x14ac:dyDescent="0.25">
      <c r="B506" s="71"/>
      <c r="G506" s="5" t="s">
        <v>1108</v>
      </c>
      <c r="H506" s="5" t="s">
        <v>1118</v>
      </c>
      <c r="I506" s="59">
        <v>520</v>
      </c>
      <c r="J506" s="59">
        <v>541</v>
      </c>
      <c r="K506" s="59">
        <v>626</v>
      </c>
      <c r="L506" s="59">
        <v>704</v>
      </c>
      <c r="M506" s="59">
        <v>725</v>
      </c>
      <c r="N506" s="59">
        <v>760</v>
      </c>
      <c r="O506" s="59">
        <v>754</v>
      </c>
      <c r="P506" s="59">
        <v>779</v>
      </c>
      <c r="Q506" s="59">
        <v>723</v>
      </c>
      <c r="R506" s="59">
        <v>668</v>
      </c>
      <c r="S506" s="59">
        <v>712</v>
      </c>
      <c r="T506" s="59">
        <v>767</v>
      </c>
      <c r="U506" s="59">
        <v>820</v>
      </c>
      <c r="V506" s="59">
        <v>772</v>
      </c>
      <c r="W506" s="59">
        <v>789</v>
      </c>
      <c r="X506" s="59">
        <v>827</v>
      </c>
      <c r="Y506" s="5">
        <v>778</v>
      </c>
    </row>
    <row r="507" spans="2:25" s="5" customFormat="1" x14ac:dyDescent="0.25">
      <c r="B507" s="71"/>
      <c r="G507" s="5" t="s">
        <v>1109</v>
      </c>
      <c r="H507" s="5" t="s">
        <v>1118</v>
      </c>
      <c r="I507" s="59">
        <v>858</v>
      </c>
      <c r="J507" s="59">
        <v>945</v>
      </c>
      <c r="K507" s="59">
        <v>945</v>
      </c>
      <c r="L507" s="59">
        <v>961</v>
      </c>
      <c r="M507" s="59">
        <v>969</v>
      </c>
      <c r="N507" s="59">
        <v>978</v>
      </c>
      <c r="O507" s="59">
        <v>959</v>
      </c>
      <c r="P507" s="59">
        <v>1046</v>
      </c>
      <c r="Q507" s="59">
        <v>1099</v>
      </c>
      <c r="R507" s="59">
        <v>1077</v>
      </c>
      <c r="S507" s="59">
        <v>1098</v>
      </c>
      <c r="T507" s="59">
        <v>1038</v>
      </c>
      <c r="U507" s="59">
        <v>1127</v>
      </c>
      <c r="V507" s="59">
        <v>1148</v>
      </c>
      <c r="W507" s="59">
        <v>1213</v>
      </c>
      <c r="X507" s="59">
        <v>1264</v>
      </c>
      <c r="Y507" s="5">
        <v>1308</v>
      </c>
    </row>
    <row r="508" spans="2:25" s="5" customFormat="1" x14ac:dyDescent="0.25">
      <c r="B508" s="71"/>
      <c r="G508" s="5" t="s">
        <v>1110</v>
      </c>
      <c r="H508" s="5" t="s">
        <v>1118</v>
      </c>
      <c r="I508" s="59">
        <v>132</v>
      </c>
      <c r="J508" s="59">
        <v>127</v>
      </c>
      <c r="K508" s="59">
        <v>145</v>
      </c>
      <c r="L508" s="59">
        <v>162</v>
      </c>
      <c r="M508" s="59">
        <v>211</v>
      </c>
      <c r="N508" s="59">
        <v>261</v>
      </c>
      <c r="O508" s="59">
        <v>292</v>
      </c>
      <c r="P508" s="59">
        <v>237</v>
      </c>
      <c r="Q508" s="59">
        <v>265</v>
      </c>
      <c r="R508" s="59">
        <v>402</v>
      </c>
      <c r="S508" s="59">
        <v>320</v>
      </c>
      <c r="T508" s="59">
        <v>320</v>
      </c>
      <c r="U508" s="59">
        <v>313</v>
      </c>
      <c r="V508" s="59">
        <v>286</v>
      </c>
      <c r="W508" s="59">
        <v>301</v>
      </c>
      <c r="X508" s="59">
        <v>509</v>
      </c>
      <c r="Y508" s="5">
        <v>542</v>
      </c>
    </row>
    <row r="509" spans="2:25" s="5" customFormat="1" x14ac:dyDescent="0.25">
      <c r="B509" s="71"/>
      <c r="G509" s="5" t="s">
        <v>1111</v>
      </c>
      <c r="H509" s="5" t="s">
        <v>1118</v>
      </c>
      <c r="I509" s="59">
        <v>2769</v>
      </c>
      <c r="J509" s="59">
        <v>2978</v>
      </c>
      <c r="K509" s="59">
        <v>3469</v>
      </c>
      <c r="L509" s="59">
        <v>3565</v>
      </c>
      <c r="M509" s="59">
        <v>3456</v>
      </c>
      <c r="N509" s="59">
        <v>2476</v>
      </c>
      <c r="O509" s="59">
        <v>2596</v>
      </c>
      <c r="P509" s="59">
        <v>2106</v>
      </c>
      <c r="Q509" s="59">
        <v>3211</v>
      </c>
      <c r="R509" s="59">
        <v>2405</v>
      </c>
      <c r="S509" s="59">
        <v>1938</v>
      </c>
      <c r="T509" s="59">
        <v>1978</v>
      </c>
      <c r="U509" s="59">
        <v>2159</v>
      </c>
      <c r="V509" s="59">
        <v>2367</v>
      </c>
      <c r="W509" s="59">
        <v>2359</v>
      </c>
      <c r="X509" s="59">
        <v>2321</v>
      </c>
      <c r="Y509" s="5">
        <v>2214</v>
      </c>
    </row>
    <row r="510" spans="2:25" s="5" customFormat="1" x14ac:dyDescent="0.25">
      <c r="B510" s="71"/>
      <c r="G510" s="5" t="s">
        <v>1112</v>
      </c>
      <c r="H510" s="5" t="s">
        <v>1118</v>
      </c>
      <c r="I510" s="59">
        <v>360</v>
      </c>
      <c r="J510" s="59">
        <v>370</v>
      </c>
      <c r="K510" s="59">
        <v>393</v>
      </c>
      <c r="L510" s="59">
        <v>403</v>
      </c>
      <c r="M510" s="59">
        <v>405</v>
      </c>
      <c r="N510" s="59">
        <v>447</v>
      </c>
      <c r="O510" s="59">
        <v>387</v>
      </c>
      <c r="P510" s="59">
        <v>362</v>
      </c>
      <c r="Q510" s="59">
        <v>352</v>
      </c>
      <c r="R510" s="59">
        <v>409</v>
      </c>
      <c r="S510" s="59">
        <v>323</v>
      </c>
      <c r="T510" s="59">
        <v>341</v>
      </c>
      <c r="U510" s="59">
        <v>352</v>
      </c>
      <c r="V510" s="59">
        <v>379</v>
      </c>
      <c r="W510" s="59">
        <v>357</v>
      </c>
      <c r="X510" s="59">
        <v>380</v>
      </c>
      <c r="Y510" s="5">
        <v>386</v>
      </c>
    </row>
    <row r="511" spans="2:25" s="5" customFormat="1" x14ac:dyDescent="0.25">
      <c r="B511" s="71"/>
      <c r="G511" s="5" t="s">
        <v>1113</v>
      </c>
      <c r="H511" s="5" t="s">
        <v>1118</v>
      </c>
      <c r="I511" s="59">
        <v>433</v>
      </c>
      <c r="J511" s="59">
        <v>436</v>
      </c>
      <c r="K511" s="59">
        <v>442</v>
      </c>
      <c r="L511" s="59">
        <v>495</v>
      </c>
      <c r="M511" s="59">
        <v>461</v>
      </c>
      <c r="N511" s="59">
        <v>502</v>
      </c>
      <c r="O511" s="59">
        <v>497</v>
      </c>
      <c r="P511" s="59">
        <v>527</v>
      </c>
      <c r="Q511" s="59">
        <v>656</v>
      </c>
      <c r="R511" s="59">
        <v>682</v>
      </c>
      <c r="S511" s="59">
        <v>571</v>
      </c>
      <c r="T511" s="59">
        <v>579</v>
      </c>
      <c r="U511" s="59">
        <v>601</v>
      </c>
      <c r="V511" s="59">
        <v>604</v>
      </c>
      <c r="W511" s="59">
        <v>594</v>
      </c>
      <c r="X511" s="59">
        <v>652</v>
      </c>
      <c r="Y511" s="5">
        <v>621</v>
      </c>
    </row>
    <row r="512" spans="2:25" s="3" customFormat="1" x14ac:dyDescent="0.25">
      <c r="B512" s="4"/>
      <c r="J512" s="73"/>
      <c r="K512" s="74"/>
      <c r="L512" s="74"/>
      <c r="M512" s="74"/>
      <c r="N512" s="74"/>
      <c r="O512" s="74"/>
      <c r="P512" s="74"/>
      <c r="Q512" s="74"/>
      <c r="R512" s="74"/>
      <c r="S512" s="74"/>
      <c r="T512" s="74"/>
      <c r="U512" s="74"/>
      <c r="V512" s="74"/>
      <c r="W512" s="74"/>
    </row>
    <row r="513" spans="1:27" s="37" customFormat="1" ht="17.25" x14ac:dyDescent="0.3">
      <c r="A513" s="37" t="s">
        <v>1095</v>
      </c>
    </row>
    <row r="514" spans="1:27" x14ac:dyDescent="0.25">
      <c r="B514" s="64" t="s">
        <v>31</v>
      </c>
      <c r="C514" t="s">
        <v>1096</v>
      </c>
    </row>
    <row r="515" spans="1:27" x14ac:dyDescent="0.25">
      <c r="B515" s="64"/>
      <c r="C515" t="s">
        <v>1041</v>
      </c>
    </row>
    <row r="516" spans="1:27" x14ac:dyDescent="0.25">
      <c r="B516" s="64" t="s">
        <v>32</v>
      </c>
      <c r="C516" s="195" t="s">
        <v>407</v>
      </c>
    </row>
    <row r="517" spans="1:27" x14ac:dyDescent="0.25">
      <c r="B517" s="64" t="s">
        <v>331</v>
      </c>
      <c r="C517" s="5" t="s">
        <v>1535</v>
      </c>
    </row>
    <row r="518" spans="1:27" x14ac:dyDescent="0.25">
      <c r="B518" s="64"/>
      <c r="C518" s="2" t="s">
        <v>1043</v>
      </c>
    </row>
    <row r="519" spans="1:27" x14ac:dyDescent="0.25">
      <c r="B519" s="64"/>
      <c r="C519" s="2" t="s">
        <v>2049</v>
      </c>
    </row>
    <row r="520" spans="1:27" x14ac:dyDescent="0.25">
      <c r="B520" s="64" t="s">
        <v>332</v>
      </c>
      <c r="C520" t="s">
        <v>1042</v>
      </c>
    </row>
    <row r="521" spans="1:27" s="34" customFormat="1" ht="15.75" thickBot="1" x14ac:dyDescent="0.3">
      <c r="B521" s="65" t="s">
        <v>334</v>
      </c>
      <c r="C521" s="34" t="s">
        <v>1962</v>
      </c>
    </row>
    <row r="522" spans="1:27" s="13" customFormat="1" ht="15.75" thickTop="1" x14ac:dyDescent="0.25">
      <c r="B522" s="14"/>
      <c r="C522" s="15" t="s">
        <v>784</v>
      </c>
      <c r="H522" s="13" t="s">
        <v>1118</v>
      </c>
      <c r="I522" s="62">
        <f>SUM(I523:I533)</f>
        <v>13515</v>
      </c>
      <c r="J522" s="62">
        <f t="shared" ref="J522:Y522" si="143">SUM(J523:J533)</f>
        <v>13962</v>
      </c>
      <c r="K522" s="62">
        <f t="shared" si="143"/>
        <v>14254</v>
      </c>
      <c r="L522" s="62">
        <f t="shared" si="143"/>
        <v>14769</v>
      </c>
      <c r="M522" s="62">
        <f t="shared" si="143"/>
        <v>15121</v>
      </c>
      <c r="N522" s="62">
        <f t="shared" si="143"/>
        <v>15389</v>
      </c>
      <c r="O522" s="62">
        <f t="shared" si="143"/>
        <v>16004</v>
      </c>
      <c r="P522" s="62">
        <f t="shared" si="143"/>
        <v>14880</v>
      </c>
      <c r="Q522" s="62">
        <f t="shared" si="143"/>
        <v>14264</v>
      </c>
      <c r="R522" s="62">
        <f t="shared" si="143"/>
        <v>14192</v>
      </c>
      <c r="S522" s="62">
        <f t="shared" si="143"/>
        <v>14671</v>
      </c>
      <c r="T522" s="62">
        <f t="shared" si="143"/>
        <v>15304</v>
      </c>
      <c r="U522" s="62">
        <f t="shared" si="143"/>
        <v>16320</v>
      </c>
      <c r="V522" s="62">
        <f t="shared" si="143"/>
        <v>16700</v>
      </c>
      <c r="W522" s="62">
        <f t="shared" si="143"/>
        <v>16910</v>
      </c>
      <c r="X522" s="62">
        <f t="shared" si="143"/>
        <v>17741</v>
      </c>
      <c r="Y522" s="62">
        <f t="shared" si="143"/>
        <v>16717</v>
      </c>
      <c r="Z522" s="62"/>
      <c r="AA522" s="62"/>
    </row>
    <row r="523" spans="1:27" x14ac:dyDescent="0.25">
      <c r="D523" t="s">
        <v>786</v>
      </c>
      <c r="H523" t="s">
        <v>1118</v>
      </c>
      <c r="I523" s="59">
        <v>6711</v>
      </c>
      <c r="J523" s="59">
        <v>7322</v>
      </c>
      <c r="K523" s="59">
        <v>8038</v>
      </c>
      <c r="L523" s="59">
        <v>8148</v>
      </c>
      <c r="M523" s="59">
        <v>8425</v>
      </c>
      <c r="N523" s="59">
        <v>8122</v>
      </c>
      <c r="O523" s="59">
        <v>8011</v>
      </c>
      <c r="P523" s="59">
        <v>9901</v>
      </c>
      <c r="Q523" s="59">
        <v>9472</v>
      </c>
      <c r="R523" s="59">
        <v>8462</v>
      </c>
      <c r="S523" s="59">
        <v>8709</v>
      </c>
      <c r="T523" s="59">
        <v>8702</v>
      </c>
      <c r="U523" s="59">
        <v>9227</v>
      </c>
      <c r="V523" s="59">
        <v>7992</v>
      </c>
      <c r="W523" s="59">
        <v>8078</v>
      </c>
      <c r="X523" s="59">
        <v>8095</v>
      </c>
      <c r="Y523" s="59">
        <v>7663</v>
      </c>
    </row>
    <row r="524" spans="1:27" x14ac:dyDescent="0.25">
      <c r="D524" t="s">
        <v>787</v>
      </c>
      <c r="H524" t="s">
        <v>1118</v>
      </c>
      <c r="I524" s="59">
        <v>348</v>
      </c>
      <c r="J524" s="59">
        <v>396</v>
      </c>
      <c r="K524" s="59">
        <v>428</v>
      </c>
      <c r="L524" s="59">
        <v>798</v>
      </c>
      <c r="M524" s="59">
        <v>903</v>
      </c>
      <c r="N524" s="59">
        <v>739</v>
      </c>
      <c r="O524" s="59">
        <v>805</v>
      </c>
      <c r="P524" s="59">
        <v>516</v>
      </c>
      <c r="Q524" s="59">
        <v>523</v>
      </c>
      <c r="R524" s="59">
        <v>563</v>
      </c>
      <c r="S524" s="59">
        <v>643</v>
      </c>
      <c r="T524" s="59">
        <v>628</v>
      </c>
      <c r="U524" s="59">
        <v>752</v>
      </c>
      <c r="V524" s="59">
        <v>1105</v>
      </c>
      <c r="W524" s="59">
        <v>1077</v>
      </c>
      <c r="X524" s="59">
        <v>1181</v>
      </c>
      <c r="Y524" s="59">
        <v>1200</v>
      </c>
    </row>
    <row r="525" spans="1:27" x14ac:dyDescent="0.25">
      <c r="D525" t="s">
        <v>788</v>
      </c>
      <c r="H525" t="s">
        <v>1118</v>
      </c>
      <c r="I525" s="59">
        <v>956</v>
      </c>
      <c r="J525" s="59">
        <v>601</v>
      </c>
      <c r="K525" s="59">
        <v>496</v>
      </c>
      <c r="L525" s="59">
        <v>496</v>
      </c>
      <c r="M525" s="59">
        <v>489</v>
      </c>
      <c r="N525" s="59">
        <v>555</v>
      </c>
      <c r="O525" s="59">
        <v>707</v>
      </c>
      <c r="P525" s="59">
        <v>818</v>
      </c>
      <c r="Q525" s="59">
        <v>796</v>
      </c>
      <c r="R525" s="59">
        <v>803</v>
      </c>
      <c r="S525" s="59">
        <v>770</v>
      </c>
      <c r="T525" s="59">
        <v>805</v>
      </c>
      <c r="U525" s="59">
        <v>892</v>
      </c>
      <c r="V525" s="59">
        <v>1093</v>
      </c>
      <c r="W525" s="59">
        <v>1145</v>
      </c>
      <c r="X525" s="59">
        <v>1237</v>
      </c>
      <c r="Y525" s="59">
        <v>1159</v>
      </c>
    </row>
    <row r="526" spans="1:27" x14ac:dyDescent="0.25">
      <c r="D526" t="s">
        <v>789</v>
      </c>
      <c r="H526" t="s">
        <v>1118</v>
      </c>
      <c r="I526" s="59">
        <v>271</v>
      </c>
      <c r="J526" s="59">
        <v>332</v>
      </c>
      <c r="K526" s="59">
        <v>353</v>
      </c>
      <c r="L526" s="59">
        <v>715</v>
      </c>
      <c r="M526" s="59">
        <v>740</v>
      </c>
      <c r="N526" s="59">
        <v>617</v>
      </c>
      <c r="O526" s="59">
        <v>715</v>
      </c>
      <c r="P526" s="59">
        <v>477</v>
      </c>
      <c r="Q526" s="59">
        <v>465</v>
      </c>
      <c r="R526" s="59">
        <v>398</v>
      </c>
      <c r="S526" s="59">
        <v>446</v>
      </c>
      <c r="T526" s="59">
        <v>486</v>
      </c>
      <c r="U526" s="59">
        <v>491</v>
      </c>
      <c r="V526" s="59">
        <v>775</v>
      </c>
      <c r="W526" s="59">
        <v>792</v>
      </c>
      <c r="X526" s="59">
        <v>816</v>
      </c>
      <c r="Y526">
        <v>735</v>
      </c>
    </row>
    <row r="527" spans="1:27" x14ac:dyDescent="0.25">
      <c r="D527" t="s">
        <v>790</v>
      </c>
      <c r="H527" t="s">
        <v>1118</v>
      </c>
      <c r="I527" s="59">
        <v>164</v>
      </c>
      <c r="J527" s="59">
        <v>188</v>
      </c>
      <c r="K527" s="59">
        <v>213</v>
      </c>
      <c r="L527" s="59">
        <v>404</v>
      </c>
      <c r="M527" s="59">
        <v>434</v>
      </c>
      <c r="N527" s="59">
        <v>362</v>
      </c>
      <c r="O527" s="59">
        <v>405</v>
      </c>
      <c r="P527" s="59">
        <v>267</v>
      </c>
      <c r="Q527" s="59">
        <v>267</v>
      </c>
      <c r="R527" s="59">
        <v>197</v>
      </c>
      <c r="S527" s="59">
        <v>227</v>
      </c>
      <c r="T527" s="59">
        <v>220</v>
      </c>
      <c r="U527" s="59">
        <v>298</v>
      </c>
      <c r="V527" s="59">
        <v>385</v>
      </c>
      <c r="W527" s="59">
        <v>379</v>
      </c>
      <c r="X527" s="59">
        <v>401</v>
      </c>
      <c r="Y527">
        <v>381</v>
      </c>
    </row>
    <row r="528" spans="1:27" x14ac:dyDescent="0.25">
      <c r="D528" t="s">
        <v>791</v>
      </c>
      <c r="H528" t="s">
        <v>1118</v>
      </c>
      <c r="I528" s="59">
        <v>383</v>
      </c>
      <c r="J528" s="59">
        <v>411</v>
      </c>
      <c r="K528" s="59">
        <v>342</v>
      </c>
      <c r="L528" s="59">
        <v>334</v>
      </c>
      <c r="M528" s="59">
        <v>391</v>
      </c>
      <c r="N528" s="59">
        <v>434</v>
      </c>
      <c r="O528" s="59">
        <v>405</v>
      </c>
      <c r="P528" s="59">
        <v>205</v>
      </c>
      <c r="Q528" s="59">
        <v>164</v>
      </c>
      <c r="R528" s="59">
        <v>194</v>
      </c>
      <c r="S528" s="59">
        <v>201</v>
      </c>
      <c r="T528" s="59">
        <v>236</v>
      </c>
      <c r="U528" s="59">
        <v>276</v>
      </c>
      <c r="V528" s="59">
        <v>333</v>
      </c>
      <c r="W528" s="59">
        <v>390</v>
      </c>
      <c r="X528" s="59">
        <v>410</v>
      </c>
      <c r="Y528">
        <v>362</v>
      </c>
    </row>
    <row r="529" spans="2:25" x14ac:dyDescent="0.25">
      <c r="D529" t="s">
        <v>792</v>
      </c>
      <c r="H529" t="s">
        <v>1118</v>
      </c>
      <c r="I529" s="59">
        <v>408</v>
      </c>
      <c r="J529" s="59">
        <v>130</v>
      </c>
      <c r="K529" s="59">
        <v>156</v>
      </c>
      <c r="L529" s="59">
        <v>175</v>
      </c>
      <c r="M529" s="59">
        <v>115</v>
      </c>
      <c r="N529" s="59">
        <v>303</v>
      </c>
      <c r="O529" s="59">
        <v>318</v>
      </c>
      <c r="P529" s="59">
        <v>137</v>
      </c>
      <c r="Q529" s="59">
        <v>165</v>
      </c>
      <c r="R529" s="59">
        <v>143</v>
      </c>
      <c r="S529" s="59">
        <v>106</v>
      </c>
      <c r="T529" s="59">
        <v>131</v>
      </c>
      <c r="U529" s="59">
        <v>130</v>
      </c>
      <c r="V529" s="59">
        <v>174</v>
      </c>
      <c r="W529" s="59">
        <v>173</v>
      </c>
      <c r="X529" s="59">
        <v>202</v>
      </c>
      <c r="Y529">
        <v>190</v>
      </c>
    </row>
    <row r="530" spans="2:25" x14ac:dyDescent="0.25">
      <c r="D530" t="s">
        <v>793</v>
      </c>
      <c r="H530" t="s">
        <v>1118</v>
      </c>
      <c r="I530" s="59">
        <v>122</v>
      </c>
      <c r="J530" s="59">
        <v>82</v>
      </c>
      <c r="K530" s="59">
        <v>95</v>
      </c>
      <c r="L530" s="59">
        <v>88</v>
      </c>
      <c r="M530" s="59">
        <v>98</v>
      </c>
      <c r="N530" s="59">
        <v>348</v>
      </c>
      <c r="O530" s="59">
        <v>349</v>
      </c>
      <c r="P530" s="59">
        <v>121</v>
      </c>
      <c r="Q530" s="59">
        <v>169</v>
      </c>
      <c r="R530" s="59">
        <v>191</v>
      </c>
      <c r="S530" s="59">
        <v>151</v>
      </c>
      <c r="T530" s="59">
        <v>167</v>
      </c>
      <c r="U530" s="59">
        <v>176</v>
      </c>
      <c r="V530" s="59">
        <v>218</v>
      </c>
      <c r="W530" s="59">
        <v>194</v>
      </c>
      <c r="X530" s="59">
        <v>221</v>
      </c>
      <c r="Y530">
        <v>158</v>
      </c>
    </row>
    <row r="531" spans="2:25" x14ac:dyDescent="0.25">
      <c r="D531" t="s">
        <v>794</v>
      </c>
      <c r="H531" t="s">
        <v>1118</v>
      </c>
      <c r="I531" s="59">
        <v>144</v>
      </c>
      <c r="J531" s="59">
        <v>156</v>
      </c>
      <c r="K531" s="59">
        <v>165</v>
      </c>
      <c r="L531" s="59">
        <v>190</v>
      </c>
      <c r="M531" s="59">
        <v>158</v>
      </c>
      <c r="N531" s="59">
        <v>161</v>
      </c>
      <c r="O531" s="59">
        <v>141</v>
      </c>
      <c r="P531" s="59">
        <v>203</v>
      </c>
      <c r="Q531" s="59">
        <v>224</v>
      </c>
      <c r="R531" s="59">
        <v>307</v>
      </c>
      <c r="S531" s="59">
        <v>300</v>
      </c>
      <c r="T531" s="59">
        <v>275</v>
      </c>
      <c r="U531" s="59">
        <v>272</v>
      </c>
      <c r="V531" s="59">
        <v>166</v>
      </c>
      <c r="W531" s="59">
        <v>185</v>
      </c>
      <c r="X531" s="59">
        <v>180</v>
      </c>
      <c r="Y531">
        <v>156</v>
      </c>
    </row>
    <row r="532" spans="2:25" x14ac:dyDescent="0.25">
      <c r="D532" t="s">
        <v>795</v>
      </c>
      <c r="H532" t="s">
        <v>1118</v>
      </c>
      <c r="I532" s="59">
        <v>67</v>
      </c>
      <c r="J532" s="59">
        <v>35</v>
      </c>
      <c r="K532" s="59">
        <v>28</v>
      </c>
      <c r="L532" s="59">
        <v>4</v>
      </c>
      <c r="M532" s="59">
        <v>14</v>
      </c>
      <c r="N532" s="59">
        <v>114</v>
      </c>
      <c r="O532" s="59">
        <v>119</v>
      </c>
      <c r="P532" s="59">
        <v>38</v>
      </c>
      <c r="Q532" s="59">
        <v>33</v>
      </c>
      <c r="R532" s="59">
        <v>87</v>
      </c>
      <c r="S532" s="59">
        <v>103</v>
      </c>
      <c r="T532" s="59">
        <v>116</v>
      </c>
      <c r="U532" s="59">
        <v>135</v>
      </c>
      <c r="V532" s="59">
        <v>173</v>
      </c>
      <c r="W532" s="59">
        <v>144</v>
      </c>
      <c r="X532" s="59">
        <v>142</v>
      </c>
      <c r="Y532">
        <v>148</v>
      </c>
    </row>
    <row r="533" spans="2:25" x14ac:dyDescent="0.25">
      <c r="D533" t="s">
        <v>783</v>
      </c>
      <c r="H533" t="s">
        <v>1118</v>
      </c>
      <c r="I533" s="59">
        <v>3941</v>
      </c>
      <c r="J533" s="59">
        <v>4309</v>
      </c>
      <c r="K533" s="59">
        <v>3940</v>
      </c>
      <c r="L533" s="59">
        <v>3417</v>
      </c>
      <c r="M533" s="59">
        <v>3354</v>
      </c>
      <c r="N533" s="59">
        <v>3634</v>
      </c>
      <c r="O533" s="59">
        <v>4029</v>
      </c>
      <c r="P533" s="59">
        <v>2197</v>
      </c>
      <c r="Q533" s="59">
        <v>1986</v>
      </c>
      <c r="R533" s="59">
        <v>2847</v>
      </c>
      <c r="S533" s="59">
        <v>3015</v>
      </c>
      <c r="T533" s="59">
        <v>3538</v>
      </c>
      <c r="U533" s="59">
        <v>3671</v>
      </c>
      <c r="V533" s="59">
        <v>4286</v>
      </c>
      <c r="W533" s="59">
        <v>4353</v>
      </c>
      <c r="X533" s="59">
        <v>4856</v>
      </c>
      <c r="Y533" s="59">
        <v>4565</v>
      </c>
    </row>
    <row r="534" spans="2:25" s="13" customFormat="1" x14ac:dyDescent="0.25">
      <c r="B534" s="14"/>
      <c r="C534" s="15" t="s">
        <v>785</v>
      </c>
      <c r="H534" s="13" t="s">
        <v>1119</v>
      </c>
      <c r="I534" s="62">
        <f>SUM(I535:I545)</f>
        <v>12030</v>
      </c>
      <c r="J534" s="62">
        <f t="shared" ref="J534:W534" si="144">SUM(J535:J545)</f>
        <v>12414</v>
      </c>
      <c r="K534" s="62">
        <f t="shared" si="144"/>
        <v>12633</v>
      </c>
      <c r="L534" s="62">
        <f t="shared" si="144"/>
        <v>12912</v>
      </c>
      <c r="M534" s="62">
        <f t="shared" si="144"/>
        <v>13226</v>
      </c>
      <c r="N534" s="62">
        <f t="shared" si="144"/>
        <v>13515</v>
      </c>
      <c r="O534" s="62">
        <f t="shared" si="144"/>
        <v>13916</v>
      </c>
      <c r="P534" s="62">
        <f t="shared" si="144"/>
        <v>13204</v>
      </c>
      <c r="Q534" s="62">
        <f t="shared" si="144"/>
        <v>12624</v>
      </c>
      <c r="R534" s="62">
        <f t="shared" si="144"/>
        <v>12446</v>
      </c>
      <c r="S534" s="62">
        <f t="shared" si="144"/>
        <v>12811</v>
      </c>
      <c r="T534" s="62">
        <f t="shared" si="144"/>
        <v>13293</v>
      </c>
      <c r="U534" s="62">
        <f t="shared" si="144"/>
        <v>14236</v>
      </c>
      <c r="V534" s="62">
        <f t="shared" si="144"/>
        <v>14403</v>
      </c>
      <c r="W534" s="62">
        <f t="shared" si="144"/>
        <v>14686</v>
      </c>
      <c r="X534" s="62">
        <f>SUM(X535:X545)</f>
        <v>15293</v>
      </c>
      <c r="Y534" s="62">
        <f>SUM(Y535:Y545)</f>
        <v>14516</v>
      </c>
    </row>
    <row r="535" spans="2:25" x14ac:dyDescent="0.25">
      <c r="D535" t="s">
        <v>786</v>
      </c>
      <c r="H535" t="s">
        <v>1119</v>
      </c>
      <c r="I535" s="59">
        <v>5936</v>
      </c>
      <c r="J535" s="59">
        <v>6419</v>
      </c>
      <c r="K535" s="59">
        <v>7115</v>
      </c>
      <c r="L535" s="59">
        <v>7093</v>
      </c>
      <c r="M535" s="59">
        <v>7351</v>
      </c>
      <c r="N535" s="59">
        <v>7161</v>
      </c>
      <c r="O535" s="59">
        <v>6978</v>
      </c>
      <c r="P535" s="59">
        <v>8738</v>
      </c>
      <c r="Q535" s="59">
        <v>8348</v>
      </c>
      <c r="R535" s="59">
        <v>7399</v>
      </c>
      <c r="S535" s="59">
        <v>7579</v>
      </c>
      <c r="T535" s="59">
        <v>7554</v>
      </c>
      <c r="U535" s="59">
        <v>8029</v>
      </c>
      <c r="V535" s="59">
        <v>6892</v>
      </c>
      <c r="W535" s="59">
        <v>6974</v>
      </c>
      <c r="X535" s="59">
        <v>6943</v>
      </c>
      <c r="Y535" s="59">
        <v>6609</v>
      </c>
    </row>
    <row r="536" spans="2:25" x14ac:dyDescent="0.25">
      <c r="D536" t="s">
        <v>787</v>
      </c>
      <c r="H536" t="s">
        <v>1119</v>
      </c>
      <c r="I536" s="59">
        <v>297</v>
      </c>
      <c r="J536" s="59">
        <v>328</v>
      </c>
      <c r="K536" s="59">
        <v>336</v>
      </c>
      <c r="L536" s="59">
        <v>605</v>
      </c>
      <c r="M536" s="59">
        <v>668</v>
      </c>
      <c r="N536" s="59">
        <v>645</v>
      </c>
      <c r="O536" s="59">
        <v>711</v>
      </c>
      <c r="P536" s="59">
        <v>464</v>
      </c>
      <c r="Q536" s="59">
        <v>468</v>
      </c>
      <c r="R536" s="59">
        <v>497</v>
      </c>
      <c r="S536" s="59">
        <v>586</v>
      </c>
      <c r="T536" s="59">
        <v>548</v>
      </c>
      <c r="U536" s="59">
        <v>658</v>
      </c>
      <c r="V536" s="59">
        <v>968</v>
      </c>
      <c r="W536" s="59">
        <v>984</v>
      </c>
      <c r="X536" s="59">
        <v>1084</v>
      </c>
      <c r="Y536" s="59">
        <v>1094</v>
      </c>
    </row>
    <row r="537" spans="2:25" x14ac:dyDescent="0.25">
      <c r="D537" t="s">
        <v>788</v>
      </c>
      <c r="H537" t="s">
        <v>1119</v>
      </c>
      <c r="I537" s="59">
        <v>882</v>
      </c>
      <c r="J537" s="59">
        <v>553</v>
      </c>
      <c r="K537" s="59">
        <v>458</v>
      </c>
      <c r="L537" s="59">
        <v>462</v>
      </c>
      <c r="M537" s="59">
        <v>448</v>
      </c>
      <c r="N537" s="59">
        <v>493</v>
      </c>
      <c r="O537" s="59">
        <v>619</v>
      </c>
      <c r="P537" s="59">
        <v>759</v>
      </c>
      <c r="Q537" s="59">
        <v>735</v>
      </c>
      <c r="R537" s="59">
        <v>726</v>
      </c>
      <c r="S537" s="59">
        <v>696</v>
      </c>
      <c r="T537" s="59">
        <v>726</v>
      </c>
      <c r="U537" s="59">
        <v>807</v>
      </c>
      <c r="V537" s="59">
        <v>988</v>
      </c>
      <c r="W537" s="59">
        <v>1017</v>
      </c>
      <c r="X537" s="59">
        <v>1097</v>
      </c>
      <c r="Y537" s="59">
        <v>1024</v>
      </c>
    </row>
    <row r="538" spans="2:25" x14ac:dyDescent="0.25">
      <c r="D538" t="s">
        <v>789</v>
      </c>
      <c r="H538" t="s">
        <v>1119</v>
      </c>
      <c r="I538" s="59">
        <v>266</v>
      </c>
      <c r="J538" s="59">
        <v>324</v>
      </c>
      <c r="K538" s="59">
        <v>343</v>
      </c>
      <c r="L538" s="59">
        <v>693</v>
      </c>
      <c r="M538" s="59">
        <v>722</v>
      </c>
      <c r="N538" s="59">
        <v>543</v>
      </c>
      <c r="O538" s="59">
        <v>652</v>
      </c>
      <c r="P538" s="59">
        <v>416</v>
      </c>
      <c r="Q538" s="59">
        <v>417</v>
      </c>
      <c r="R538" s="59">
        <v>349</v>
      </c>
      <c r="S538" s="59">
        <v>397</v>
      </c>
      <c r="T538" s="59">
        <v>433</v>
      </c>
      <c r="U538" s="59">
        <v>429</v>
      </c>
      <c r="V538" s="59">
        <v>673</v>
      </c>
      <c r="W538" s="59">
        <v>708</v>
      </c>
      <c r="X538" s="59">
        <v>716</v>
      </c>
      <c r="Y538">
        <v>653</v>
      </c>
    </row>
    <row r="539" spans="2:25" x14ac:dyDescent="0.25">
      <c r="D539" t="s">
        <v>790</v>
      </c>
      <c r="H539" t="s">
        <v>1119</v>
      </c>
      <c r="I539" s="59">
        <v>163</v>
      </c>
      <c r="J539" s="59">
        <v>185</v>
      </c>
      <c r="K539" s="59">
        <v>208</v>
      </c>
      <c r="L539" s="59">
        <v>394</v>
      </c>
      <c r="M539" s="59">
        <v>430</v>
      </c>
      <c r="N539" s="59">
        <v>321</v>
      </c>
      <c r="O539" s="59">
        <v>349</v>
      </c>
      <c r="P539" s="59">
        <v>246</v>
      </c>
      <c r="Q539" s="59">
        <v>239</v>
      </c>
      <c r="R539" s="59">
        <v>176</v>
      </c>
      <c r="S539" s="59">
        <v>194</v>
      </c>
      <c r="T539" s="59">
        <v>197</v>
      </c>
      <c r="U539" s="59">
        <v>268</v>
      </c>
      <c r="V539" s="59">
        <v>330</v>
      </c>
      <c r="W539" s="59">
        <v>324</v>
      </c>
      <c r="X539" s="59">
        <v>339</v>
      </c>
      <c r="Y539">
        <v>326</v>
      </c>
    </row>
    <row r="540" spans="2:25" x14ac:dyDescent="0.25">
      <c r="D540" t="s">
        <v>791</v>
      </c>
      <c r="H540" t="s">
        <v>1119</v>
      </c>
      <c r="I540" s="59">
        <v>338</v>
      </c>
      <c r="J540" s="59">
        <v>362</v>
      </c>
      <c r="K540" s="59">
        <v>287</v>
      </c>
      <c r="L540" s="59">
        <v>299</v>
      </c>
      <c r="M540" s="59">
        <v>341</v>
      </c>
      <c r="N540" s="59">
        <v>388</v>
      </c>
      <c r="O540" s="59">
        <v>353</v>
      </c>
      <c r="P540" s="59">
        <v>180</v>
      </c>
      <c r="Q540" s="59">
        <v>143</v>
      </c>
      <c r="R540" s="59">
        <v>167</v>
      </c>
      <c r="S540" s="59">
        <v>166</v>
      </c>
      <c r="T540" s="59">
        <v>196</v>
      </c>
      <c r="U540" s="59">
        <v>236</v>
      </c>
      <c r="V540" s="59">
        <v>290</v>
      </c>
      <c r="W540" s="59">
        <v>361</v>
      </c>
      <c r="X540" s="59">
        <v>357</v>
      </c>
      <c r="Y540">
        <v>313</v>
      </c>
    </row>
    <row r="541" spans="2:25" x14ac:dyDescent="0.25">
      <c r="D541" t="s">
        <v>792</v>
      </c>
      <c r="H541" t="s">
        <v>1119</v>
      </c>
      <c r="I541" s="59">
        <v>357</v>
      </c>
      <c r="J541" s="59">
        <v>111</v>
      </c>
      <c r="K541" s="59">
        <v>135</v>
      </c>
      <c r="L541" s="59">
        <v>127</v>
      </c>
      <c r="M541" s="59">
        <v>100</v>
      </c>
      <c r="N541" s="59">
        <v>259</v>
      </c>
      <c r="O541" s="59">
        <v>265</v>
      </c>
      <c r="P541" s="59">
        <v>116</v>
      </c>
      <c r="Q541" s="59">
        <v>149</v>
      </c>
      <c r="R541" s="59">
        <v>129</v>
      </c>
      <c r="S541" s="59">
        <v>91</v>
      </c>
      <c r="T541" s="59">
        <v>116</v>
      </c>
      <c r="U541" s="59">
        <v>107</v>
      </c>
      <c r="V541" s="59">
        <v>150</v>
      </c>
      <c r="W541" s="59">
        <v>152</v>
      </c>
      <c r="X541" s="59">
        <v>168</v>
      </c>
      <c r="Y541">
        <v>167</v>
      </c>
    </row>
    <row r="542" spans="2:25" x14ac:dyDescent="0.25">
      <c r="D542" t="s">
        <v>793</v>
      </c>
      <c r="H542" t="s">
        <v>1119</v>
      </c>
      <c r="I542" s="59">
        <v>103</v>
      </c>
      <c r="J542" s="59">
        <v>73</v>
      </c>
      <c r="K542" s="59">
        <v>77</v>
      </c>
      <c r="L542" s="59">
        <v>73</v>
      </c>
      <c r="M542" s="59">
        <v>71</v>
      </c>
      <c r="N542" s="59">
        <v>299</v>
      </c>
      <c r="O542" s="59">
        <v>294</v>
      </c>
      <c r="P542" s="59">
        <v>105</v>
      </c>
      <c r="Q542" s="59">
        <v>144</v>
      </c>
      <c r="R542" s="59">
        <v>165</v>
      </c>
      <c r="S542" s="59">
        <v>135</v>
      </c>
      <c r="T542" s="59">
        <v>145</v>
      </c>
      <c r="U542" s="59">
        <v>147</v>
      </c>
      <c r="V542" s="59">
        <v>182</v>
      </c>
      <c r="W542" s="59">
        <v>159</v>
      </c>
      <c r="X542" s="59">
        <v>152</v>
      </c>
      <c r="Y542">
        <v>141</v>
      </c>
    </row>
    <row r="543" spans="2:25" x14ac:dyDescent="0.25">
      <c r="D543" t="s">
        <v>794</v>
      </c>
      <c r="H543" t="s">
        <v>1119</v>
      </c>
      <c r="I543" s="59">
        <v>143</v>
      </c>
      <c r="J543" s="59">
        <v>153</v>
      </c>
      <c r="K543" s="59">
        <v>161</v>
      </c>
      <c r="L543" s="59">
        <v>186</v>
      </c>
      <c r="M543" s="59">
        <v>155</v>
      </c>
      <c r="N543" s="59">
        <v>148</v>
      </c>
      <c r="O543" s="59">
        <v>130</v>
      </c>
      <c r="P543" s="59">
        <v>178</v>
      </c>
      <c r="Q543" s="59">
        <v>185</v>
      </c>
      <c r="R543" s="59">
        <v>262</v>
      </c>
      <c r="S543" s="59">
        <v>260</v>
      </c>
      <c r="T543" s="59">
        <v>239</v>
      </c>
      <c r="U543" s="59">
        <v>242</v>
      </c>
      <c r="V543" s="59">
        <v>151</v>
      </c>
      <c r="W543" s="59">
        <v>164</v>
      </c>
      <c r="X543" s="59">
        <v>198</v>
      </c>
      <c r="Y543">
        <v>138</v>
      </c>
    </row>
    <row r="544" spans="2:25" x14ac:dyDescent="0.25">
      <c r="D544" t="s">
        <v>795</v>
      </c>
      <c r="H544" t="s">
        <v>1119</v>
      </c>
      <c r="I544" s="59">
        <v>57</v>
      </c>
      <c r="J544" s="59">
        <v>35</v>
      </c>
      <c r="K544" s="59">
        <v>24</v>
      </c>
      <c r="L544" s="59">
        <v>4</v>
      </c>
      <c r="M544" s="59">
        <v>10</v>
      </c>
      <c r="N544" s="59">
        <v>91</v>
      </c>
      <c r="O544" s="59">
        <v>93</v>
      </c>
      <c r="P544" s="59">
        <v>31</v>
      </c>
      <c r="Q544" s="59">
        <v>28</v>
      </c>
      <c r="R544" s="59">
        <v>71</v>
      </c>
      <c r="S544" s="59">
        <v>88</v>
      </c>
      <c r="T544" s="59">
        <v>92</v>
      </c>
      <c r="U544" s="59">
        <v>109</v>
      </c>
      <c r="V544" s="59">
        <v>140</v>
      </c>
      <c r="W544" s="59">
        <v>124</v>
      </c>
      <c r="X544" s="59">
        <v>118</v>
      </c>
      <c r="Y544">
        <v>129</v>
      </c>
    </row>
    <row r="545" spans="3:25" x14ac:dyDescent="0.25">
      <c r="D545" t="s">
        <v>783</v>
      </c>
      <c r="H545" t="s">
        <v>1119</v>
      </c>
      <c r="I545" s="59">
        <v>3488</v>
      </c>
      <c r="J545" s="59">
        <v>3871</v>
      </c>
      <c r="K545" s="59">
        <v>3489</v>
      </c>
      <c r="L545" s="59">
        <v>2976</v>
      </c>
      <c r="M545" s="59">
        <v>2930</v>
      </c>
      <c r="N545" s="59">
        <v>3167</v>
      </c>
      <c r="O545" s="59">
        <v>3472</v>
      </c>
      <c r="P545" s="59">
        <v>1971</v>
      </c>
      <c r="Q545" s="59">
        <v>1768</v>
      </c>
      <c r="R545" s="59">
        <v>2505</v>
      </c>
      <c r="S545" s="59">
        <v>2619</v>
      </c>
      <c r="T545" s="59">
        <v>3047</v>
      </c>
      <c r="U545" s="59">
        <v>3204</v>
      </c>
      <c r="V545" s="59">
        <v>3639</v>
      </c>
      <c r="W545" s="59">
        <v>3719</v>
      </c>
      <c r="X545" s="59">
        <v>4121</v>
      </c>
      <c r="Y545" s="59">
        <v>3922</v>
      </c>
    </row>
    <row r="546" spans="3:25" x14ac:dyDescent="0.25">
      <c r="C546" s="15" t="s">
        <v>796</v>
      </c>
      <c r="D546" s="13"/>
      <c r="H546" s="13" t="s">
        <v>1118</v>
      </c>
      <c r="I546" s="62">
        <f>SUM(I547:I557)</f>
        <v>7141</v>
      </c>
      <c r="J546" s="62">
        <f t="shared" ref="J546:Y546" si="145">SUM(J547:J557)</f>
        <v>7770</v>
      </c>
      <c r="K546" s="62">
        <f t="shared" si="145"/>
        <v>8495</v>
      </c>
      <c r="L546" s="62">
        <f t="shared" si="145"/>
        <v>8620</v>
      </c>
      <c r="M546" s="62">
        <f t="shared" si="145"/>
        <v>8885</v>
      </c>
      <c r="N546" s="62">
        <f t="shared" si="145"/>
        <v>9125</v>
      </c>
      <c r="O546" s="62">
        <f t="shared" si="145"/>
        <v>9023</v>
      </c>
      <c r="P546" s="62">
        <f t="shared" si="145"/>
        <v>11201</v>
      </c>
      <c r="Q546" s="62">
        <f t="shared" si="145"/>
        <v>10880</v>
      </c>
      <c r="R546" s="62">
        <f t="shared" si="145"/>
        <v>9685</v>
      </c>
      <c r="S546" s="62">
        <f t="shared" si="145"/>
        <v>10225</v>
      </c>
      <c r="T546" s="62">
        <f t="shared" si="145"/>
        <v>10206</v>
      </c>
      <c r="U546" s="62">
        <f t="shared" si="145"/>
        <v>11039</v>
      </c>
      <c r="V546" s="62">
        <f t="shared" si="145"/>
        <v>9419</v>
      </c>
      <c r="W546" s="62">
        <f t="shared" si="145"/>
        <v>9496</v>
      </c>
      <c r="X546" s="62">
        <f t="shared" si="145"/>
        <v>9589</v>
      </c>
      <c r="Y546" s="62">
        <f t="shared" si="145"/>
        <v>9696</v>
      </c>
    </row>
    <row r="547" spans="3:25" x14ac:dyDescent="0.25">
      <c r="D547" t="s">
        <v>786</v>
      </c>
      <c r="H547" t="s">
        <v>1118</v>
      </c>
      <c r="I547" s="59">
        <v>6711</v>
      </c>
      <c r="J547" s="59">
        <v>7322</v>
      </c>
      <c r="K547" s="59">
        <v>8038</v>
      </c>
      <c r="L547" s="59">
        <v>8148</v>
      </c>
      <c r="M547" s="59">
        <v>8425</v>
      </c>
      <c r="N547" s="59">
        <v>8122</v>
      </c>
      <c r="O547" s="59">
        <v>8011</v>
      </c>
      <c r="P547" s="59">
        <v>9901</v>
      </c>
      <c r="Q547" s="59">
        <v>9472</v>
      </c>
      <c r="R547" s="59">
        <v>8462</v>
      </c>
      <c r="S547" s="59">
        <v>8709</v>
      </c>
      <c r="T547" s="59">
        <v>8702</v>
      </c>
      <c r="U547" s="59">
        <v>9227</v>
      </c>
      <c r="V547" s="59">
        <v>7992</v>
      </c>
      <c r="W547" s="59">
        <v>8078</v>
      </c>
      <c r="X547" s="59">
        <v>8095</v>
      </c>
      <c r="Y547" s="59">
        <v>7663</v>
      </c>
    </row>
    <row r="548" spans="3:25" x14ac:dyDescent="0.25">
      <c r="D548" t="s">
        <v>794</v>
      </c>
      <c r="H548" t="s">
        <v>1118</v>
      </c>
      <c r="I548" s="59">
        <v>53</v>
      </c>
      <c r="J548" s="59">
        <v>62</v>
      </c>
      <c r="K548" s="59">
        <v>64</v>
      </c>
      <c r="L548" s="59">
        <v>65</v>
      </c>
      <c r="M548" s="59">
        <v>82</v>
      </c>
      <c r="N548" s="59">
        <v>26</v>
      </c>
      <c r="O548" s="59">
        <v>76</v>
      </c>
      <c r="P548" s="59">
        <v>109</v>
      </c>
      <c r="Q548" s="59">
        <v>191</v>
      </c>
      <c r="R548" s="59">
        <v>183</v>
      </c>
      <c r="S548" s="59">
        <v>169</v>
      </c>
      <c r="T548" s="59">
        <v>150</v>
      </c>
      <c r="U548" s="59">
        <v>158</v>
      </c>
      <c r="V548" s="59">
        <v>146</v>
      </c>
      <c r="W548" s="59">
        <v>133</v>
      </c>
      <c r="X548" s="59">
        <v>121</v>
      </c>
      <c r="Y548">
        <v>628</v>
      </c>
    </row>
    <row r="549" spans="3:25" x14ac:dyDescent="0.25">
      <c r="D549" t="s">
        <v>798</v>
      </c>
      <c r="H549" t="s">
        <v>1118</v>
      </c>
      <c r="I549" s="59">
        <v>1</v>
      </c>
      <c r="J549" s="59">
        <v>0</v>
      </c>
      <c r="K549" s="59">
        <v>0</v>
      </c>
      <c r="L549" s="59">
        <v>3</v>
      </c>
      <c r="M549" s="59">
        <v>2</v>
      </c>
      <c r="N549" s="59">
        <v>103</v>
      </c>
      <c r="O549" s="59">
        <v>87</v>
      </c>
      <c r="P549" s="59">
        <v>1</v>
      </c>
      <c r="Q549" s="59">
        <v>9</v>
      </c>
      <c r="R549" s="59">
        <v>35</v>
      </c>
      <c r="S549" s="59">
        <v>144</v>
      </c>
      <c r="T549" s="59">
        <v>116</v>
      </c>
      <c r="U549" s="59">
        <v>135</v>
      </c>
      <c r="V549" s="59">
        <v>97</v>
      </c>
      <c r="W549" s="59">
        <v>95</v>
      </c>
      <c r="X549" s="59">
        <v>114</v>
      </c>
      <c r="Y549">
        <v>111</v>
      </c>
    </row>
    <row r="550" spans="3:25" x14ac:dyDescent="0.25">
      <c r="D550" t="s">
        <v>799</v>
      </c>
      <c r="H550" t="s">
        <v>1118</v>
      </c>
      <c r="I550" s="59">
        <v>0</v>
      </c>
      <c r="J550" s="59">
        <v>0</v>
      </c>
      <c r="K550" s="59">
        <v>0</v>
      </c>
      <c r="L550" s="59">
        <v>0</v>
      </c>
      <c r="M550" s="59">
        <v>0</v>
      </c>
      <c r="N550" s="59">
        <v>46</v>
      </c>
      <c r="O550" s="59">
        <v>52</v>
      </c>
      <c r="P550" s="59">
        <v>79</v>
      </c>
      <c r="Q550" s="59">
        <v>68</v>
      </c>
      <c r="R550" s="59">
        <v>52</v>
      </c>
      <c r="S550" s="59">
        <v>54</v>
      </c>
      <c r="T550" s="59">
        <v>83</v>
      </c>
      <c r="U550" s="59">
        <v>89</v>
      </c>
      <c r="V550" s="59">
        <v>86</v>
      </c>
      <c r="W550" s="59">
        <v>72</v>
      </c>
      <c r="X550" s="59">
        <v>93</v>
      </c>
      <c r="Y550">
        <v>88</v>
      </c>
    </row>
    <row r="551" spans="3:25" x14ac:dyDescent="0.25">
      <c r="D551" t="s">
        <v>792</v>
      </c>
      <c r="H551" t="s">
        <v>1118</v>
      </c>
      <c r="I551" s="59">
        <v>0</v>
      </c>
      <c r="J551" s="59">
        <v>0</v>
      </c>
      <c r="K551" s="59">
        <v>1</v>
      </c>
      <c r="L551" s="59">
        <v>0</v>
      </c>
      <c r="M551" s="59">
        <v>0</v>
      </c>
      <c r="N551" s="59">
        <v>122</v>
      </c>
      <c r="O551" s="59">
        <v>116</v>
      </c>
      <c r="P551" s="59">
        <v>116</v>
      </c>
      <c r="Q551" s="59">
        <v>133</v>
      </c>
      <c r="R551" s="59">
        <v>111</v>
      </c>
      <c r="S551" s="59">
        <v>116</v>
      </c>
      <c r="T551" s="59">
        <v>119</v>
      </c>
      <c r="U551" s="59">
        <v>110</v>
      </c>
      <c r="V551" s="59">
        <v>98</v>
      </c>
      <c r="W551" s="59">
        <v>86</v>
      </c>
      <c r="X551" s="59">
        <v>93</v>
      </c>
      <c r="Y551">
        <v>84</v>
      </c>
    </row>
    <row r="552" spans="3:25" x14ac:dyDescent="0.25">
      <c r="D552" t="s">
        <v>791</v>
      </c>
      <c r="H552" t="s">
        <v>1118</v>
      </c>
      <c r="I552" s="59">
        <v>27</v>
      </c>
      <c r="J552" s="59">
        <v>26</v>
      </c>
      <c r="K552" s="59">
        <v>42</v>
      </c>
      <c r="L552" s="59">
        <v>46</v>
      </c>
      <c r="M552" s="59">
        <v>38</v>
      </c>
      <c r="N552" s="59">
        <v>66</v>
      </c>
      <c r="O552" s="59">
        <v>37</v>
      </c>
      <c r="P552" s="59">
        <v>48</v>
      </c>
      <c r="Q552" s="59">
        <v>58</v>
      </c>
      <c r="R552" s="59">
        <v>59</v>
      </c>
      <c r="S552" s="59">
        <v>54</v>
      </c>
      <c r="T552" s="59">
        <v>78</v>
      </c>
      <c r="U552" s="59">
        <v>68</v>
      </c>
      <c r="V552" s="59">
        <v>76</v>
      </c>
      <c r="W552" s="59">
        <v>71</v>
      </c>
      <c r="X552" s="59">
        <v>58</v>
      </c>
      <c r="Y552">
        <v>74</v>
      </c>
    </row>
    <row r="553" spans="3:25" x14ac:dyDescent="0.25">
      <c r="D553" t="s">
        <v>789</v>
      </c>
      <c r="H553" t="s">
        <v>1118</v>
      </c>
      <c r="I553" s="59">
        <v>37</v>
      </c>
      <c r="J553" s="59">
        <v>28</v>
      </c>
      <c r="K553" s="59">
        <v>26</v>
      </c>
      <c r="L553" s="59">
        <v>8</v>
      </c>
      <c r="M553" s="59">
        <v>20</v>
      </c>
      <c r="N553" s="59">
        <v>41</v>
      </c>
      <c r="O553" s="59">
        <v>33</v>
      </c>
      <c r="P553" s="59">
        <v>26</v>
      </c>
      <c r="Q553" s="59">
        <v>46</v>
      </c>
      <c r="R553" s="59">
        <v>29</v>
      </c>
      <c r="S553" s="59">
        <v>47</v>
      </c>
      <c r="T553" s="59">
        <v>50</v>
      </c>
      <c r="U553" s="59">
        <v>50</v>
      </c>
      <c r="V553" s="59">
        <v>57</v>
      </c>
      <c r="W553" s="59">
        <v>66</v>
      </c>
      <c r="X553" s="59">
        <v>55</v>
      </c>
      <c r="Y553">
        <v>62</v>
      </c>
    </row>
    <row r="554" spans="3:25" x14ac:dyDescent="0.25">
      <c r="D554" t="s">
        <v>788</v>
      </c>
      <c r="H554" t="s">
        <v>1118</v>
      </c>
      <c r="I554" s="59">
        <v>6</v>
      </c>
      <c r="J554" s="59">
        <v>18</v>
      </c>
      <c r="K554" s="59">
        <v>23</v>
      </c>
      <c r="L554" s="59">
        <v>15</v>
      </c>
      <c r="M554" s="59">
        <v>14</v>
      </c>
      <c r="N554" s="59">
        <v>47</v>
      </c>
      <c r="O554" s="59">
        <v>26</v>
      </c>
      <c r="P554" s="59">
        <v>104</v>
      </c>
      <c r="Q554" s="59">
        <v>80</v>
      </c>
      <c r="R554" s="59">
        <v>71</v>
      </c>
      <c r="S554" s="59">
        <v>76</v>
      </c>
      <c r="T554" s="59">
        <v>79</v>
      </c>
      <c r="U554" s="59">
        <v>79</v>
      </c>
      <c r="V554" s="59">
        <v>34</v>
      </c>
      <c r="W554" s="59">
        <v>64</v>
      </c>
      <c r="X554" s="59">
        <v>79</v>
      </c>
      <c r="Y554">
        <v>60</v>
      </c>
    </row>
    <row r="555" spans="3:25" x14ac:dyDescent="0.25">
      <c r="D555" t="s">
        <v>800</v>
      </c>
      <c r="H555" t="s">
        <v>1118</v>
      </c>
      <c r="I555" s="59">
        <v>11</v>
      </c>
      <c r="J555" s="59">
        <v>25</v>
      </c>
      <c r="K555" s="59">
        <v>14</v>
      </c>
      <c r="L555" s="59">
        <v>12</v>
      </c>
      <c r="M555" s="59">
        <v>8</v>
      </c>
      <c r="N555" s="59">
        <v>12</v>
      </c>
      <c r="O555" s="59">
        <v>18</v>
      </c>
      <c r="P555" s="59">
        <v>71</v>
      </c>
      <c r="Q555" s="59">
        <v>83</v>
      </c>
      <c r="R555" s="59">
        <v>34</v>
      </c>
      <c r="S555" s="59">
        <v>61</v>
      </c>
      <c r="T555" s="59">
        <v>38</v>
      </c>
      <c r="U555" s="59">
        <v>95</v>
      </c>
      <c r="V555" s="59">
        <v>30</v>
      </c>
      <c r="W555" s="59">
        <v>51</v>
      </c>
      <c r="X555" s="59">
        <v>50</v>
      </c>
      <c r="Y555">
        <v>56</v>
      </c>
    </row>
    <row r="556" spans="3:25" x14ac:dyDescent="0.25">
      <c r="D556" t="s">
        <v>793</v>
      </c>
      <c r="H556" t="s">
        <v>1118</v>
      </c>
      <c r="I556" s="59">
        <v>8</v>
      </c>
      <c r="J556" s="59">
        <v>2</v>
      </c>
      <c r="K556" s="59">
        <v>5</v>
      </c>
      <c r="L556" s="59">
        <v>18</v>
      </c>
      <c r="M556" s="59">
        <v>9</v>
      </c>
      <c r="N556" s="59">
        <v>24</v>
      </c>
      <c r="O556" s="59">
        <v>60</v>
      </c>
      <c r="P556" s="59">
        <v>113</v>
      </c>
      <c r="Q556" s="59">
        <v>110</v>
      </c>
      <c r="R556" s="59">
        <v>46</v>
      </c>
      <c r="S556" s="59">
        <v>61</v>
      </c>
      <c r="T556" s="59">
        <v>63</v>
      </c>
      <c r="U556" s="59">
        <v>64</v>
      </c>
      <c r="V556" s="59">
        <v>42</v>
      </c>
      <c r="W556" s="59">
        <v>23</v>
      </c>
      <c r="X556" s="59">
        <v>39</v>
      </c>
      <c r="Y556">
        <v>45</v>
      </c>
    </row>
    <row r="557" spans="3:25" x14ac:dyDescent="0.25">
      <c r="D557" t="s">
        <v>783</v>
      </c>
      <c r="H557" t="s">
        <v>1118</v>
      </c>
      <c r="I557" s="59">
        <v>287</v>
      </c>
      <c r="J557" s="59">
        <v>287</v>
      </c>
      <c r="K557" s="59">
        <v>282</v>
      </c>
      <c r="L557" s="59">
        <v>305</v>
      </c>
      <c r="M557" s="59">
        <v>287</v>
      </c>
      <c r="N557" s="59">
        <v>516</v>
      </c>
      <c r="O557" s="59">
        <v>507</v>
      </c>
      <c r="P557" s="59">
        <v>633</v>
      </c>
      <c r="Q557" s="59">
        <v>630</v>
      </c>
      <c r="R557" s="59">
        <v>603</v>
      </c>
      <c r="S557" s="59">
        <v>734</v>
      </c>
      <c r="T557" s="59">
        <v>728</v>
      </c>
      <c r="U557" s="59">
        <v>964</v>
      </c>
      <c r="V557" s="59">
        <v>761</v>
      </c>
      <c r="W557" s="59">
        <v>757</v>
      </c>
      <c r="X557" s="59">
        <v>792</v>
      </c>
      <c r="Y557">
        <v>825</v>
      </c>
    </row>
    <row r="558" spans="3:25" x14ac:dyDescent="0.25">
      <c r="C558" s="15" t="s">
        <v>797</v>
      </c>
      <c r="D558" s="13"/>
      <c r="H558" s="13" t="s">
        <v>1119</v>
      </c>
      <c r="I558" s="62">
        <f t="shared" ref="I558:Y558" si="146">SUM(I559:I569)</f>
        <v>6333</v>
      </c>
      <c r="J558" s="62">
        <f t="shared" si="146"/>
        <v>6846</v>
      </c>
      <c r="K558" s="62">
        <f t="shared" si="146"/>
        <v>7546</v>
      </c>
      <c r="L558" s="62">
        <f t="shared" si="146"/>
        <v>7523</v>
      </c>
      <c r="M558" s="62">
        <f t="shared" si="146"/>
        <v>7772</v>
      </c>
      <c r="N558" s="62">
        <f t="shared" si="146"/>
        <v>8095</v>
      </c>
      <c r="O558" s="62">
        <f t="shared" si="146"/>
        <v>7931</v>
      </c>
      <c r="P558" s="62">
        <f t="shared" si="146"/>
        <v>9936</v>
      </c>
      <c r="Q558" s="62">
        <f t="shared" si="146"/>
        <v>9663</v>
      </c>
      <c r="R558" s="62">
        <f t="shared" si="146"/>
        <v>8544</v>
      </c>
      <c r="S558" s="62">
        <f t="shared" si="146"/>
        <v>8975</v>
      </c>
      <c r="T558" s="62">
        <f t="shared" si="146"/>
        <v>8944</v>
      </c>
      <c r="U558" s="62">
        <f t="shared" si="146"/>
        <v>9689</v>
      </c>
      <c r="V558" s="62">
        <f t="shared" si="146"/>
        <v>8221</v>
      </c>
      <c r="W558" s="62">
        <f t="shared" si="146"/>
        <v>8276</v>
      </c>
      <c r="X558" s="62">
        <f t="shared" si="146"/>
        <v>8329</v>
      </c>
      <c r="Y558" s="62">
        <f t="shared" si="146"/>
        <v>8404</v>
      </c>
    </row>
    <row r="559" spans="3:25" x14ac:dyDescent="0.25">
      <c r="D559" t="s">
        <v>786</v>
      </c>
      <c r="H559" t="s">
        <v>1119</v>
      </c>
      <c r="I559" s="59">
        <v>5936</v>
      </c>
      <c r="J559" s="59">
        <v>6419</v>
      </c>
      <c r="K559" s="59">
        <v>7115</v>
      </c>
      <c r="L559" s="59">
        <v>7093</v>
      </c>
      <c r="M559" s="59">
        <v>7351</v>
      </c>
      <c r="N559" s="59">
        <v>7161</v>
      </c>
      <c r="O559" s="59">
        <v>6978</v>
      </c>
      <c r="P559" s="59">
        <v>8738</v>
      </c>
      <c r="Q559" s="59">
        <v>8348</v>
      </c>
      <c r="R559" s="59">
        <v>7399</v>
      </c>
      <c r="S559" s="59">
        <v>7579</v>
      </c>
      <c r="T559" s="59">
        <v>7554</v>
      </c>
      <c r="U559" s="59">
        <v>8029</v>
      </c>
      <c r="V559" s="59">
        <v>6892</v>
      </c>
      <c r="W559" s="59">
        <v>6974</v>
      </c>
      <c r="X559" s="59">
        <v>6943</v>
      </c>
      <c r="Y559" s="59">
        <v>6609</v>
      </c>
    </row>
    <row r="560" spans="3:25" x14ac:dyDescent="0.25">
      <c r="D560" t="s">
        <v>794</v>
      </c>
      <c r="H560" t="s">
        <v>1119</v>
      </c>
      <c r="I560" s="59">
        <v>48</v>
      </c>
      <c r="J560" s="59">
        <v>60</v>
      </c>
      <c r="K560" s="59">
        <v>59</v>
      </c>
      <c r="L560" s="59">
        <v>57</v>
      </c>
      <c r="M560" s="59">
        <v>75</v>
      </c>
      <c r="N560" s="59">
        <v>22</v>
      </c>
      <c r="O560" s="59">
        <v>65</v>
      </c>
      <c r="P560" s="59">
        <v>98</v>
      </c>
      <c r="Q560" s="59">
        <v>181</v>
      </c>
      <c r="R560" s="59">
        <v>168</v>
      </c>
      <c r="S560" s="59">
        <v>145</v>
      </c>
      <c r="T560" s="59">
        <v>123</v>
      </c>
      <c r="U560" s="59">
        <v>133</v>
      </c>
      <c r="V560" s="59">
        <v>133</v>
      </c>
      <c r="W560" s="59">
        <v>119</v>
      </c>
      <c r="X560" s="59">
        <v>108</v>
      </c>
      <c r="Y560">
        <v>495</v>
      </c>
    </row>
    <row r="561" spans="1:25" x14ac:dyDescent="0.25">
      <c r="D561" t="s">
        <v>798</v>
      </c>
      <c r="H561" t="s">
        <v>1119</v>
      </c>
      <c r="I561" s="59">
        <v>1</v>
      </c>
      <c r="J561" s="59">
        <v>0</v>
      </c>
      <c r="K561" s="59">
        <v>0</v>
      </c>
      <c r="L561" s="59">
        <v>3</v>
      </c>
      <c r="M561" s="59">
        <v>2</v>
      </c>
      <c r="N561" s="59">
        <v>101</v>
      </c>
      <c r="O561" s="59">
        <v>86</v>
      </c>
      <c r="P561" s="59">
        <v>1</v>
      </c>
      <c r="Q561" s="59">
        <v>9</v>
      </c>
      <c r="R561" s="59">
        <v>34</v>
      </c>
      <c r="S561" s="59">
        <v>141</v>
      </c>
      <c r="T561" s="59">
        <v>115</v>
      </c>
      <c r="U561" s="59">
        <v>128</v>
      </c>
      <c r="V561" s="59">
        <v>95</v>
      </c>
      <c r="W561" s="59">
        <v>95</v>
      </c>
      <c r="X561" s="59">
        <v>111</v>
      </c>
      <c r="Y561">
        <v>108</v>
      </c>
    </row>
    <row r="562" spans="1:25" x14ac:dyDescent="0.25">
      <c r="D562" t="s">
        <v>799</v>
      </c>
      <c r="H562" t="s">
        <v>1119</v>
      </c>
      <c r="I562" s="59">
        <v>0</v>
      </c>
      <c r="J562" s="59">
        <v>0</v>
      </c>
      <c r="K562" s="59">
        <v>0</v>
      </c>
      <c r="L562" s="59">
        <v>0</v>
      </c>
      <c r="M562" s="59">
        <v>0</v>
      </c>
      <c r="N562" s="59">
        <v>45</v>
      </c>
      <c r="O562" s="59">
        <v>51</v>
      </c>
      <c r="P562" s="59">
        <v>74</v>
      </c>
      <c r="Q562" s="59">
        <v>64</v>
      </c>
      <c r="R562" s="59">
        <v>48</v>
      </c>
      <c r="S562" s="59">
        <v>49</v>
      </c>
      <c r="T562" s="59">
        <v>76</v>
      </c>
      <c r="U562" s="59">
        <v>80</v>
      </c>
      <c r="V562" s="59">
        <v>83</v>
      </c>
      <c r="W562" s="59">
        <v>70</v>
      </c>
      <c r="X562" s="59">
        <v>90</v>
      </c>
      <c r="Y562">
        <v>86</v>
      </c>
    </row>
    <row r="563" spans="1:25" x14ac:dyDescent="0.25">
      <c r="D563" t="s">
        <v>792</v>
      </c>
      <c r="H563" t="s">
        <v>1119</v>
      </c>
      <c r="I563" s="59">
        <v>0</v>
      </c>
      <c r="J563" s="59">
        <v>0</v>
      </c>
      <c r="K563" s="59">
        <v>1</v>
      </c>
      <c r="L563" s="59">
        <v>0</v>
      </c>
      <c r="M563" s="59">
        <v>0</v>
      </c>
      <c r="N563" s="59">
        <v>117</v>
      </c>
      <c r="O563" s="59">
        <v>111</v>
      </c>
      <c r="P563" s="59">
        <v>111</v>
      </c>
      <c r="Q563" s="59">
        <v>124</v>
      </c>
      <c r="R563" s="59">
        <v>107</v>
      </c>
      <c r="S563" s="59">
        <v>108</v>
      </c>
      <c r="T563" s="59">
        <v>113</v>
      </c>
      <c r="U563" s="59">
        <v>102</v>
      </c>
      <c r="V563" s="59">
        <v>87</v>
      </c>
      <c r="W563" s="59">
        <v>74</v>
      </c>
      <c r="X563" s="59">
        <v>85</v>
      </c>
      <c r="Y563">
        <v>78</v>
      </c>
    </row>
    <row r="564" spans="1:25" x14ac:dyDescent="0.25">
      <c r="D564" t="s">
        <v>791</v>
      </c>
      <c r="H564" t="s">
        <v>1119</v>
      </c>
      <c r="I564" s="59">
        <v>27</v>
      </c>
      <c r="J564" s="59">
        <v>25</v>
      </c>
      <c r="K564" s="59">
        <v>40</v>
      </c>
      <c r="L564" s="59">
        <v>43</v>
      </c>
      <c r="M564" s="59">
        <v>36</v>
      </c>
      <c r="N564" s="59">
        <v>57</v>
      </c>
      <c r="O564" s="59">
        <v>35</v>
      </c>
      <c r="P564" s="59">
        <v>45</v>
      </c>
      <c r="Q564" s="59">
        <v>55</v>
      </c>
      <c r="R564" s="59">
        <v>56</v>
      </c>
      <c r="S564" s="59">
        <v>48</v>
      </c>
      <c r="T564" s="59">
        <v>70</v>
      </c>
      <c r="U564" s="59">
        <v>62</v>
      </c>
      <c r="V564" s="59">
        <v>70</v>
      </c>
      <c r="W564" s="59">
        <v>62</v>
      </c>
      <c r="X564" s="59">
        <v>53</v>
      </c>
      <c r="Y564">
        <v>62</v>
      </c>
    </row>
    <row r="565" spans="1:25" x14ac:dyDescent="0.25">
      <c r="D565" t="s">
        <v>789</v>
      </c>
      <c r="H565" t="s">
        <v>1119</v>
      </c>
      <c r="I565" s="59">
        <v>37</v>
      </c>
      <c r="J565" s="59">
        <v>28</v>
      </c>
      <c r="K565" s="59">
        <v>23</v>
      </c>
      <c r="L565" s="59">
        <v>8</v>
      </c>
      <c r="M565" s="59">
        <v>19</v>
      </c>
      <c r="N565" s="59">
        <v>34</v>
      </c>
      <c r="O565" s="59">
        <v>28</v>
      </c>
      <c r="P565" s="59">
        <v>21</v>
      </c>
      <c r="Q565" s="59">
        <v>42</v>
      </c>
      <c r="R565" s="59">
        <v>27</v>
      </c>
      <c r="S565" s="59">
        <v>43</v>
      </c>
      <c r="T565" s="59">
        <v>47</v>
      </c>
      <c r="U565" s="59">
        <v>47</v>
      </c>
      <c r="V565" s="59">
        <v>50</v>
      </c>
      <c r="W565" s="59">
        <v>66</v>
      </c>
      <c r="X565" s="59">
        <v>51</v>
      </c>
      <c r="Y565">
        <v>58</v>
      </c>
    </row>
    <row r="566" spans="1:25" x14ac:dyDescent="0.25">
      <c r="D566" t="s">
        <v>788</v>
      </c>
      <c r="H566" t="s">
        <v>1119</v>
      </c>
      <c r="I566" s="59">
        <v>5</v>
      </c>
      <c r="J566" s="59">
        <v>18</v>
      </c>
      <c r="K566" s="59">
        <v>23</v>
      </c>
      <c r="L566" s="59">
        <v>14</v>
      </c>
      <c r="M566" s="59">
        <v>14</v>
      </c>
      <c r="N566" s="59">
        <v>43</v>
      </c>
      <c r="O566" s="59">
        <v>26</v>
      </c>
      <c r="P566" s="59">
        <v>97</v>
      </c>
      <c r="Q566" s="59">
        <v>75</v>
      </c>
      <c r="R566" s="59">
        <v>63</v>
      </c>
      <c r="S566" s="59">
        <v>66</v>
      </c>
      <c r="T566" s="59">
        <v>75</v>
      </c>
      <c r="U566" s="59">
        <v>76</v>
      </c>
      <c r="V566" s="59">
        <v>32</v>
      </c>
      <c r="W566" s="59">
        <v>59</v>
      </c>
      <c r="X566" s="59">
        <v>74</v>
      </c>
      <c r="Y566">
        <v>55</v>
      </c>
    </row>
    <row r="567" spans="1:25" x14ac:dyDescent="0.25">
      <c r="D567" t="s">
        <v>800</v>
      </c>
      <c r="H567" t="s">
        <v>1119</v>
      </c>
      <c r="I567" s="59">
        <v>9</v>
      </c>
      <c r="J567" s="59">
        <v>22</v>
      </c>
      <c r="K567" s="59">
        <v>13</v>
      </c>
      <c r="L567" s="59">
        <v>11</v>
      </c>
      <c r="M567" s="59">
        <v>7</v>
      </c>
      <c r="N567" s="59">
        <v>12</v>
      </c>
      <c r="O567" s="59">
        <v>16</v>
      </c>
      <c r="P567" s="59">
        <v>60</v>
      </c>
      <c r="Q567" s="59">
        <v>72</v>
      </c>
      <c r="R567" s="59">
        <v>32</v>
      </c>
      <c r="S567" s="59">
        <v>56</v>
      </c>
      <c r="T567" s="59">
        <v>33</v>
      </c>
      <c r="U567" s="59">
        <v>83</v>
      </c>
      <c r="V567" s="59">
        <v>28</v>
      </c>
      <c r="W567" s="59">
        <v>45</v>
      </c>
      <c r="X567" s="59">
        <v>46</v>
      </c>
      <c r="Y567">
        <v>51</v>
      </c>
    </row>
    <row r="568" spans="1:25" x14ac:dyDescent="0.25">
      <c r="D568" t="s">
        <v>793</v>
      </c>
      <c r="H568" t="s">
        <v>1119</v>
      </c>
      <c r="I568" s="59">
        <v>8</v>
      </c>
      <c r="J568" s="59">
        <v>2</v>
      </c>
      <c r="K568" s="59">
        <v>4</v>
      </c>
      <c r="L568" s="59">
        <v>17</v>
      </c>
      <c r="M568" s="59">
        <v>8</v>
      </c>
      <c r="N568" s="59">
        <v>23</v>
      </c>
      <c r="O568" s="59">
        <v>58</v>
      </c>
      <c r="P568" s="59">
        <v>105</v>
      </c>
      <c r="Q568" s="59">
        <v>104</v>
      </c>
      <c r="R568" s="59">
        <v>42</v>
      </c>
      <c r="S568" s="59">
        <v>55</v>
      </c>
      <c r="T568" s="59">
        <v>62</v>
      </c>
      <c r="U568" s="59">
        <v>62</v>
      </c>
      <c r="V568" s="59">
        <v>38</v>
      </c>
      <c r="W568" s="59">
        <v>22</v>
      </c>
      <c r="X568" s="59">
        <v>37</v>
      </c>
      <c r="Y568">
        <v>42</v>
      </c>
    </row>
    <row r="569" spans="1:25" x14ac:dyDescent="0.25">
      <c r="D569" t="s">
        <v>783</v>
      </c>
      <c r="H569" t="s">
        <v>1119</v>
      </c>
      <c r="I569" s="59">
        <v>262</v>
      </c>
      <c r="J569" s="59">
        <v>272</v>
      </c>
      <c r="K569" s="59">
        <v>268</v>
      </c>
      <c r="L569" s="59">
        <v>277</v>
      </c>
      <c r="M569" s="59">
        <v>260</v>
      </c>
      <c r="N569" s="59">
        <v>480</v>
      </c>
      <c r="O569" s="59">
        <v>477</v>
      </c>
      <c r="P569" s="59">
        <v>586</v>
      </c>
      <c r="Q569" s="59">
        <v>589</v>
      </c>
      <c r="R569" s="59">
        <v>568</v>
      </c>
      <c r="S569" s="59">
        <v>685</v>
      </c>
      <c r="T569" s="59">
        <v>676</v>
      </c>
      <c r="U569" s="59">
        <v>887</v>
      </c>
      <c r="V569" s="59">
        <v>713</v>
      </c>
      <c r="W569" s="59">
        <v>690</v>
      </c>
      <c r="X569" s="59">
        <v>731</v>
      </c>
      <c r="Y569">
        <v>760</v>
      </c>
    </row>
    <row r="570" spans="1:25" s="3" customFormat="1" x14ac:dyDescent="0.25">
      <c r="B570" s="4"/>
      <c r="J570" s="73"/>
      <c r="K570" s="74"/>
      <c r="L570" s="74"/>
      <c r="M570" s="74"/>
      <c r="N570" s="74"/>
      <c r="O570" s="74"/>
      <c r="P570" s="74"/>
      <c r="Q570" s="74"/>
      <c r="R570" s="74"/>
      <c r="S570" s="74"/>
      <c r="T570" s="74"/>
      <c r="U570" s="74"/>
      <c r="V570" s="74"/>
      <c r="W570" s="74"/>
    </row>
    <row r="571" spans="1:25" s="37" customFormat="1" ht="17.25" x14ac:dyDescent="0.3">
      <c r="A571" s="37" t="s">
        <v>1259</v>
      </c>
    </row>
    <row r="572" spans="1:25" s="223" customFormat="1" x14ac:dyDescent="0.25">
      <c r="B572" s="64" t="s">
        <v>31</v>
      </c>
      <c r="C572" s="223" t="s">
        <v>1260</v>
      </c>
    </row>
    <row r="573" spans="1:25" s="223" customFormat="1" x14ac:dyDescent="0.25">
      <c r="B573" s="64" t="s">
        <v>32</v>
      </c>
      <c r="C573" s="195" t="s">
        <v>326</v>
      </c>
    </row>
    <row r="574" spans="1:25" s="223" customFormat="1" x14ac:dyDescent="0.25">
      <c r="B574" s="64" t="s">
        <v>331</v>
      </c>
      <c r="C574" s="5" t="s">
        <v>1261</v>
      </c>
    </row>
    <row r="575" spans="1:25" s="223" customFormat="1" x14ac:dyDescent="0.25">
      <c r="B575" s="64" t="s">
        <v>332</v>
      </c>
      <c r="C575" s="223" t="s">
        <v>1262</v>
      </c>
    </row>
    <row r="576" spans="1:25" s="34" customFormat="1" ht="15.75" thickBot="1" x14ac:dyDescent="0.3">
      <c r="B576" s="65" t="s">
        <v>334</v>
      </c>
      <c r="C576" s="34" t="s">
        <v>1963</v>
      </c>
    </row>
    <row r="577" spans="1:26" s="13" customFormat="1" ht="15.75" thickTop="1" x14ac:dyDescent="0.25">
      <c r="B577" s="14"/>
      <c r="C577" s="15" t="s">
        <v>1265</v>
      </c>
      <c r="J577" s="75"/>
      <c r="K577" s="75"/>
      <c r="L577" s="75"/>
      <c r="M577" s="75"/>
      <c r="N577" s="75"/>
    </row>
    <row r="578" spans="1:26" s="223" customFormat="1" x14ac:dyDescent="0.25">
      <c r="B578" s="1"/>
      <c r="D578" s="223" t="s">
        <v>1264</v>
      </c>
      <c r="H578" s="223" t="s">
        <v>1513</v>
      </c>
      <c r="J578" s="69"/>
      <c r="K578" s="69"/>
      <c r="L578" s="69"/>
      <c r="M578" s="69"/>
      <c r="N578" s="69"/>
      <c r="Q578" s="223">
        <v>2.63</v>
      </c>
      <c r="R578" s="223">
        <v>2.64</v>
      </c>
      <c r="S578" s="223">
        <v>2.64</v>
      </c>
      <c r="T578" s="223">
        <v>2.65</v>
      </c>
      <c r="U578" s="223">
        <v>2.65</v>
      </c>
      <c r="V578" s="223">
        <v>2.65</v>
      </c>
      <c r="W578" s="223">
        <v>2.65</v>
      </c>
      <c r="X578" s="223">
        <v>2.65</v>
      </c>
      <c r="Y578" s="223">
        <v>2.63</v>
      </c>
      <c r="Z578" s="223">
        <v>2.61</v>
      </c>
    </row>
    <row r="579" spans="1:26" s="223" customFormat="1" x14ac:dyDescent="0.25">
      <c r="B579" s="1"/>
      <c r="D579" s="223" t="s">
        <v>1266</v>
      </c>
      <c r="H579" s="223" t="s">
        <v>1513</v>
      </c>
      <c r="J579" s="69"/>
      <c r="K579" s="69"/>
      <c r="L579" s="69"/>
      <c r="M579" s="69"/>
      <c r="N579" s="69"/>
      <c r="Q579" s="223">
        <v>3.23</v>
      </c>
      <c r="R579" s="223">
        <v>3.25</v>
      </c>
      <c r="S579" s="223">
        <v>3.25</v>
      </c>
      <c r="T579" s="223">
        <v>3.26</v>
      </c>
      <c r="U579" s="223">
        <v>3.26</v>
      </c>
      <c r="V579" s="223">
        <v>3.26</v>
      </c>
      <c r="W579" s="223">
        <v>3.27</v>
      </c>
      <c r="X579" s="223">
        <v>3.26</v>
      </c>
      <c r="Y579" s="223">
        <v>3.24</v>
      </c>
      <c r="Z579" s="223">
        <v>3.23</v>
      </c>
    </row>
    <row r="580" spans="1:26" s="3" customFormat="1" x14ac:dyDescent="0.25">
      <c r="B580" s="4"/>
      <c r="J580" s="73"/>
      <c r="K580" s="74"/>
      <c r="L580" s="74"/>
      <c r="M580" s="74"/>
      <c r="N580" s="74"/>
      <c r="O580" s="74"/>
      <c r="P580" s="74"/>
      <c r="Q580" s="74"/>
      <c r="R580" s="74"/>
      <c r="S580" s="74"/>
      <c r="T580" s="74"/>
      <c r="U580" s="74"/>
      <c r="V580" s="74"/>
      <c r="W580" s="74"/>
    </row>
    <row r="581" spans="1:26" s="37" customFormat="1" ht="17.25" x14ac:dyDescent="0.3">
      <c r="A581" s="37" t="s">
        <v>7</v>
      </c>
    </row>
    <row r="582" spans="1:26" x14ac:dyDescent="0.25">
      <c r="B582" s="64" t="s">
        <v>31</v>
      </c>
      <c r="C582" t="s">
        <v>388</v>
      </c>
    </row>
    <row r="583" spans="1:26" s="223" customFormat="1" x14ac:dyDescent="0.25">
      <c r="B583" s="64" t="s">
        <v>32</v>
      </c>
      <c r="C583" s="195" t="s">
        <v>1455</v>
      </c>
    </row>
    <row r="584" spans="1:26" x14ac:dyDescent="0.25">
      <c r="C584" t="s">
        <v>1000</v>
      </c>
    </row>
    <row r="585" spans="1:26" x14ac:dyDescent="0.25">
      <c r="B585" s="64" t="s">
        <v>331</v>
      </c>
      <c r="C585" s="5" t="s">
        <v>1536</v>
      </c>
    </row>
    <row r="586" spans="1:26" s="223" customFormat="1" x14ac:dyDescent="0.25">
      <c r="B586" s="64"/>
      <c r="C586" s="5"/>
      <c r="D586" s="165" t="s">
        <v>1479</v>
      </c>
    </row>
    <row r="587" spans="1:26" x14ac:dyDescent="0.25">
      <c r="B587" s="64" t="s">
        <v>332</v>
      </c>
      <c r="C587" t="s">
        <v>374</v>
      </c>
    </row>
    <row r="588" spans="1:26" s="34" customFormat="1" ht="15.75" thickBot="1" x14ac:dyDescent="0.3">
      <c r="B588" s="65" t="s">
        <v>334</v>
      </c>
      <c r="C588" s="34" t="s">
        <v>389</v>
      </c>
    </row>
    <row r="589" spans="1:26" s="13" customFormat="1" ht="15.75" thickTop="1" x14ac:dyDescent="0.25">
      <c r="B589" s="14"/>
      <c r="C589" s="15" t="s">
        <v>7</v>
      </c>
      <c r="J589" s="75"/>
      <c r="K589" s="75"/>
      <c r="L589" s="75"/>
      <c r="M589" s="75"/>
      <c r="N589" s="75"/>
    </row>
    <row r="590" spans="1:26" x14ac:dyDescent="0.25">
      <c r="D590" t="s">
        <v>378</v>
      </c>
      <c r="H590" t="s">
        <v>1507</v>
      </c>
      <c r="J590" s="69"/>
      <c r="K590" s="69"/>
      <c r="L590" s="69"/>
      <c r="M590" s="69"/>
      <c r="N590" s="69"/>
      <c r="Q590">
        <v>15652</v>
      </c>
      <c r="R590">
        <v>16331</v>
      </c>
      <c r="S590">
        <v>16101</v>
      </c>
      <c r="T590">
        <v>16478</v>
      </c>
      <c r="U590">
        <v>16536</v>
      </c>
      <c r="V590">
        <v>17393</v>
      </c>
      <c r="W590">
        <v>17527</v>
      </c>
      <c r="X590">
        <v>17759</v>
      </c>
      <c r="Y590">
        <v>17725</v>
      </c>
      <c r="Z590">
        <v>18513</v>
      </c>
    </row>
    <row r="591" spans="1:26" x14ac:dyDescent="0.25">
      <c r="F591" t="s">
        <v>381</v>
      </c>
      <c r="H591" s="223" t="s">
        <v>1507</v>
      </c>
      <c r="J591" s="69"/>
      <c r="K591" s="69"/>
      <c r="L591" s="69"/>
      <c r="M591" s="69"/>
      <c r="N591" s="69"/>
      <c r="Q591">
        <v>8982</v>
      </c>
      <c r="S591">
        <v>9751</v>
      </c>
      <c r="U591">
        <v>10913</v>
      </c>
      <c r="V591">
        <v>11354</v>
      </c>
      <c r="W591">
        <v>10911</v>
      </c>
      <c r="X591">
        <v>10686</v>
      </c>
      <c r="Y591">
        <v>9985</v>
      </c>
      <c r="Z591">
        <v>9904</v>
      </c>
    </row>
    <row r="592" spans="1:26" s="13" customFormat="1" x14ac:dyDescent="0.25">
      <c r="B592" s="14"/>
      <c r="C592" s="13" t="s">
        <v>392</v>
      </c>
      <c r="J592" s="75"/>
      <c r="K592" s="75"/>
      <c r="L592" s="75"/>
      <c r="M592" s="75"/>
      <c r="N592" s="75"/>
    </row>
    <row r="593" spans="1:26" x14ac:dyDescent="0.25">
      <c r="D593" t="s">
        <v>378</v>
      </c>
      <c r="H593" s="223" t="s">
        <v>1507</v>
      </c>
      <c r="J593" s="69"/>
      <c r="K593" s="69"/>
      <c r="L593" s="69"/>
      <c r="M593" s="69"/>
      <c r="N593" s="69"/>
      <c r="Q593">
        <v>567</v>
      </c>
      <c r="R593">
        <v>749</v>
      </c>
      <c r="S593">
        <v>399</v>
      </c>
      <c r="T593">
        <v>299</v>
      </c>
      <c r="U593">
        <v>349</v>
      </c>
      <c r="V593">
        <v>435</v>
      </c>
      <c r="W593">
        <v>390</v>
      </c>
      <c r="X593">
        <v>329</v>
      </c>
      <c r="Y593">
        <v>428</v>
      </c>
      <c r="Z593">
        <v>466</v>
      </c>
    </row>
    <row r="594" spans="1:26" x14ac:dyDescent="0.25">
      <c r="F594" t="s">
        <v>381</v>
      </c>
      <c r="H594" s="223" t="s">
        <v>1507</v>
      </c>
      <c r="J594" s="69"/>
      <c r="K594" s="69"/>
      <c r="L594" s="69"/>
      <c r="M594" s="69"/>
      <c r="N594" s="69"/>
      <c r="Q594">
        <v>412</v>
      </c>
      <c r="S594">
        <v>265</v>
      </c>
      <c r="U594">
        <v>240</v>
      </c>
      <c r="V594">
        <v>262</v>
      </c>
      <c r="W594">
        <v>256</v>
      </c>
      <c r="X594">
        <v>185</v>
      </c>
      <c r="Y594">
        <v>296</v>
      </c>
      <c r="Z594">
        <v>330</v>
      </c>
    </row>
    <row r="595" spans="1:26" x14ac:dyDescent="0.25">
      <c r="C595" s="13" t="s">
        <v>393</v>
      </c>
      <c r="D595" s="13"/>
      <c r="E595" s="13"/>
      <c r="F595" s="13"/>
      <c r="J595" s="69"/>
      <c r="K595" s="69"/>
      <c r="L595" s="69"/>
      <c r="M595" s="69"/>
      <c r="N595" s="69"/>
    </row>
    <row r="596" spans="1:26" x14ac:dyDescent="0.25">
      <c r="D596" t="s">
        <v>378</v>
      </c>
      <c r="H596" s="223" t="s">
        <v>1507</v>
      </c>
      <c r="J596" s="69"/>
      <c r="K596" s="69"/>
      <c r="L596" s="69"/>
      <c r="M596" s="69"/>
      <c r="N596" s="69"/>
      <c r="Q596">
        <v>1263</v>
      </c>
      <c r="R596">
        <v>1484</v>
      </c>
      <c r="S596">
        <v>1193</v>
      </c>
      <c r="T596">
        <v>1234</v>
      </c>
      <c r="U596">
        <v>1411</v>
      </c>
      <c r="V596">
        <v>1401</v>
      </c>
      <c r="W596">
        <v>1631</v>
      </c>
      <c r="X596">
        <v>1613</v>
      </c>
      <c r="Y596">
        <v>1784</v>
      </c>
      <c r="Z596">
        <v>1661</v>
      </c>
    </row>
    <row r="597" spans="1:26" x14ac:dyDescent="0.25">
      <c r="F597" t="s">
        <v>381</v>
      </c>
      <c r="H597" s="223" t="s">
        <v>1507</v>
      </c>
      <c r="J597" s="69"/>
      <c r="K597" s="69"/>
      <c r="L597" s="69"/>
      <c r="M597" s="69"/>
      <c r="N597" s="69"/>
      <c r="Q597">
        <v>506</v>
      </c>
      <c r="S597">
        <v>611</v>
      </c>
      <c r="U597">
        <v>841</v>
      </c>
      <c r="V597">
        <v>822</v>
      </c>
      <c r="W597">
        <v>930</v>
      </c>
      <c r="X597">
        <v>902</v>
      </c>
      <c r="Y597">
        <v>883</v>
      </c>
      <c r="Z597">
        <v>750</v>
      </c>
    </row>
    <row r="598" spans="1:26" x14ac:dyDescent="0.25">
      <c r="C598" s="13" t="s">
        <v>394</v>
      </c>
      <c r="D598" s="13"/>
      <c r="E598" s="13"/>
      <c r="F598" s="13"/>
      <c r="J598" s="69"/>
      <c r="K598" s="69"/>
      <c r="L598" s="69"/>
      <c r="M598" s="69"/>
      <c r="N598" s="69"/>
    </row>
    <row r="599" spans="1:26" x14ac:dyDescent="0.25">
      <c r="D599" t="s">
        <v>378</v>
      </c>
      <c r="H599" s="223" t="s">
        <v>1507</v>
      </c>
      <c r="J599" s="69"/>
      <c r="K599" s="69"/>
      <c r="L599" s="69"/>
      <c r="M599" s="69"/>
      <c r="N599" s="69"/>
      <c r="Q599">
        <v>1276</v>
      </c>
      <c r="R599">
        <v>1202</v>
      </c>
      <c r="S599">
        <v>1344</v>
      </c>
      <c r="T599">
        <v>965</v>
      </c>
      <c r="U599">
        <v>833</v>
      </c>
      <c r="V599">
        <v>761</v>
      </c>
      <c r="W599">
        <v>789</v>
      </c>
      <c r="X599">
        <v>811</v>
      </c>
      <c r="Y599">
        <v>956</v>
      </c>
      <c r="Z599">
        <v>1017</v>
      </c>
    </row>
    <row r="600" spans="1:26" x14ac:dyDescent="0.25">
      <c r="F600" t="s">
        <v>381</v>
      </c>
      <c r="H600" s="223" t="s">
        <v>1507</v>
      </c>
      <c r="J600" s="69"/>
      <c r="K600" s="69"/>
      <c r="L600" s="69"/>
      <c r="M600" s="69"/>
      <c r="N600" s="69"/>
      <c r="Q600">
        <v>560</v>
      </c>
      <c r="S600">
        <v>561</v>
      </c>
      <c r="U600">
        <v>235</v>
      </c>
      <c r="V600">
        <v>149</v>
      </c>
      <c r="W600">
        <v>155</v>
      </c>
      <c r="X600">
        <v>277</v>
      </c>
      <c r="Y600">
        <v>288</v>
      </c>
      <c r="Z600">
        <v>298</v>
      </c>
    </row>
    <row r="601" spans="1:26" s="3" customFormat="1" x14ac:dyDescent="0.25">
      <c r="B601" s="4"/>
      <c r="J601" s="73"/>
      <c r="K601" s="73"/>
      <c r="L601" s="73"/>
      <c r="M601" s="73"/>
      <c r="N601" s="73"/>
    </row>
    <row r="602" spans="1:26" s="37" customFormat="1" ht="17.25" x14ac:dyDescent="0.3">
      <c r="A602" s="37" t="s">
        <v>6</v>
      </c>
    </row>
    <row r="603" spans="1:26" x14ac:dyDescent="0.25">
      <c r="B603" s="64" t="s">
        <v>31</v>
      </c>
      <c r="C603" t="s">
        <v>507</v>
      </c>
    </row>
    <row r="604" spans="1:26" x14ac:dyDescent="0.25">
      <c r="B604" s="64" t="s">
        <v>32</v>
      </c>
      <c r="C604" s="268" t="s">
        <v>1000</v>
      </c>
    </row>
    <row r="605" spans="1:26" x14ac:dyDescent="0.25">
      <c r="B605" s="64" t="s">
        <v>331</v>
      </c>
      <c r="C605" s="5" t="s">
        <v>344</v>
      </c>
    </row>
    <row r="606" spans="1:26" x14ac:dyDescent="0.25">
      <c r="B606" s="64" t="s">
        <v>332</v>
      </c>
      <c r="C606" t="s">
        <v>345</v>
      </c>
    </row>
    <row r="607" spans="1:26" s="34" customFormat="1" ht="15.75" thickBot="1" x14ac:dyDescent="0.3">
      <c r="B607" s="65" t="s">
        <v>334</v>
      </c>
      <c r="C607" s="34" t="s">
        <v>346</v>
      </c>
    </row>
    <row r="608" spans="1:26" ht="15.75" thickTop="1" x14ac:dyDescent="0.25">
      <c r="C608" s="15" t="s">
        <v>851</v>
      </c>
      <c r="D608" s="13"/>
      <c r="E608" s="13"/>
      <c r="F608" s="13"/>
      <c r="J608" s="69"/>
      <c r="K608" s="69"/>
      <c r="L608" s="69"/>
      <c r="M608" s="69"/>
      <c r="N608" s="69"/>
    </row>
    <row r="609" spans="1:37" x14ac:dyDescent="0.25">
      <c r="D609" t="s">
        <v>378</v>
      </c>
      <c r="H609" t="s">
        <v>1507</v>
      </c>
      <c r="I609" s="59"/>
      <c r="J609" s="108"/>
      <c r="K609" s="108"/>
      <c r="L609" s="108"/>
      <c r="M609" s="108"/>
      <c r="N609" s="108"/>
      <c r="O609" s="59"/>
      <c r="P609" s="59"/>
      <c r="Q609" s="59">
        <v>20802</v>
      </c>
      <c r="R609" s="59">
        <v>21111</v>
      </c>
      <c r="S609" s="59">
        <v>21326</v>
      </c>
      <c r="T609" s="59">
        <v>21575</v>
      </c>
      <c r="U609" s="59">
        <v>21956</v>
      </c>
      <c r="V609" s="59">
        <v>22311</v>
      </c>
      <c r="W609" s="59">
        <v>22623</v>
      </c>
      <c r="X609" s="59">
        <v>22923</v>
      </c>
      <c r="Y609" s="59">
        <v>23059</v>
      </c>
      <c r="Z609" s="59">
        <v>23280</v>
      </c>
      <c r="AA609" s="59"/>
      <c r="AB609" s="59"/>
      <c r="AC609" s="59"/>
      <c r="AD609" s="59"/>
      <c r="AE609" s="59"/>
      <c r="AF609" s="59"/>
      <c r="AG609" s="59"/>
      <c r="AH609" s="59"/>
      <c r="AI609" s="59"/>
      <c r="AJ609" s="59"/>
      <c r="AK609" s="59"/>
    </row>
    <row r="610" spans="1:37" x14ac:dyDescent="0.25">
      <c r="E610" t="s">
        <v>379</v>
      </c>
      <c r="H610" t="s">
        <v>1507</v>
      </c>
      <c r="I610" s="59"/>
      <c r="J610" s="108"/>
      <c r="K610" s="108"/>
      <c r="L610" s="108"/>
      <c r="M610" s="108"/>
      <c r="N610" s="108"/>
      <c r="O610" s="59"/>
      <c r="P610" s="59"/>
      <c r="Q610" s="59">
        <v>310</v>
      </c>
      <c r="R610" s="59">
        <v>153</v>
      </c>
      <c r="S610" s="59">
        <v>355</v>
      </c>
      <c r="T610" s="59">
        <v>410</v>
      </c>
      <c r="U610" s="59">
        <v>454</v>
      </c>
      <c r="V610" s="59">
        <v>585</v>
      </c>
      <c r="W610" s="59">
        <v>604</v>
      </c>
      <c r="X610" s="59">
        <v>515</v>
      </c>
      <c r="Y610" s="59">
        <v>382</v>
      </c>
      <c r="Z610" s="59">
        <v>465</v>
      </c>
      <c r="AA610" s="59"/>
      <c r="AB610" s="59"/>
      <c r="AC610" s="59"/>
      <c r="AD610" s="59"/>
      <c r="AE610" s="59"/>
      <c r="AF610" s="59"/>
      <c r="AG610" s="59"/>
      <c r="AH610" s="59"/>
      <c r="AI610" s="59"/>
      <c r="AJ610" s="59"/>
      <c r="AK610" s="59"/>
    </row>
    <row r="611" spans="1:37" x14ac:dyDescent="0.25">
      <c r="E611" t="s">
        <v>380</v>
      </c>
      <c r="H611" t="s">
        <v>1507</v>
      </c>
      <c r="I611" s="59"/>
      <c r="J611" s="108"/>
      <c r="K611" s="108"/>
      <c r="L611" s="108"/>
      <c r="M611" s="108"/>
      <c r="N611" s="108"/>
      <c r="O611" s="59"/>
      <c r="P611" s="59"/>
      <c r="Q611" s="59">
        <v>20062</v>
      </c>
      <c r="R611" s="59">
        <v>20721</v>
      </c>
      <c r="S611" s="59">
        <v>20665</v>
      </c>
      <c r="T611" s="59">
        <v>20846</v>
      </c>
      <c r="U611" s="59">
        <v>21127</v>
      </c>
      <c r="V611" s="59">
        <v>21304</v>
      </c>
      <c r="W611" s="59">
        <v>21563</v>
      </c>
      <c r="X611" s="59">
        <v>21806</v>
      </c>
      <c r="Y611" s="59">
        <v>21814</v>
      </c>
      <c r="Z611" s="59">
        <v>21938</v>
      </c>
      <c r="AA611" s="59"/>
      <c r="AB611" s="59"/>
      <c r="AC611" s="59"/>
      <c r="AD611" s="59"/>
      <c r="AE611" s="59"/>
      <c r="AF611" s="59"/>
      <c r="AG611" s="59"/>
      <c r="AH611" s="59"/>
      <c r="AI611" s="59"/>
      <c r="AJ611" s="59"/>
      <c r="AK611" s="59"/>
    </row>
    <row r="612" spans="1:37" x14ac:dyDescent="0.25">
      <c r="F612" t="s">
        <v>381</v>
      </c>
      <c r="H612" t="s">
        <v>1507</v>
      </c>
      <c r="I612" s="59"/>
      <c r="J612" s="108"/>
      <c r="K612" s="108"/>
      <c r="L612" s="108"/>
      <c r="M612" s="108"/>
      <c r="N612" s="108"/>
      <c r="O612" s="59"/>
      <c r="P612" s="59"/>
      <c r="Q612" s="59">
        <v>9441</v>
      </c>
      <c r="R612" s="59">
        <v>9556</v>
      </c>
      <c r="S612" s="59">
        <v>9646</v>
      </c>
      <c r="T612" s="59">
        <v>9777</v>
      </c>
      <c r="U612" s="59">
        <v>9967</v>
      </c>
      <c r="V612" s="59">
        <v>10152</v>
      </c>
      <c r="W612" s="59">
        <v>10279</v>
      </c>
      <c r="X612" s="59">
        <v>10413</v>
      </c>
      <c r="Y612" s="59">
        <v>10483</v>
      </c>
      <c r="Z612" s="59">
        <v>10553</v>
      </c>
      <c r="AA612" s="59"/>
      <c r="AB612" s="59"/>
      <c r="AC612" s="59"/>
      <c r="AD612" s="59"/>
      <c r="AE612" s="59"/>
      <c r="AF612" s="59"/>
      <c r="AG612" s="59"/>
      <c r="AH612" s="59"/>
      <c r="AI612" s="59"/>
      <c r="AJ612" s="59"/>
      <c r="AK612" s="59"/>
    </row>
    <row r="613" spans="1:37" s="3" customFormat="1" x14ac:dyDescent="0.25">
      <c r="B613" s="4"/>
      <c r="J613" s="73"/>
      <c r="K613" s="73"/>
      <c r="L613" s="73"/>
      <c r="M613" s="73"/>
      <c r="N613" s="73"/>
    </row>
    <row r="614" spans="1:37" s="37" customFormat="1" ht="17.25" x14ac:dyDescent="0.3">
      <c r="A614" s="37" t="s">
        <v>508</v>
      </c>
    </row>
    <row r="615" spans="1:37" x14ac:dyDescent="0.25">
      <c r="B615" s="64" t="s">
        <v>31</v>
      </c>
      <c r="C615" t="s">
        <v>509</v>
      </c>
    </row>
    <row r="616" spans="1:37" x14ac:dyDescent="0.25">
      <c r="B616" s="64" t="s">
        <v>32</v>
      </c>
      <c r="C616" s="195" t="s">
        <v>408</v>
      </c>
    </row>
    <row r="617" spans="1:37" s="223" customFormat="1" x14ac:dyDescent="0.25">
      <c r="B617" s="64"/>
      <c r="C617" s="195" t="s">
        <v>326</v>
      </c>
    </row>
    <row r="618" spans="1:37" x14ac:dyDescent="0.25">
      <c r="B618" s="64" t="s">
        <v>331</v>
      </c>
      <c r="C618" s="5" t="s">
        <v>1481</v>
      </c>
    </row>
    <row r="619" spans="1:37" x14ac:dyDescent="0.25">
      <c r="B619" s="64"/>
      <c r="C619" s="5"/>
      <c r="D619" t="s">
        <v>699</v>
      </c>
    </row>
    <row r="620" spans="1:37" x14ac:dyDescent="0.25">
      <c r="B620" s="64" t="s">
        <v>332</v>
      </c>
      <c r="C620" t="s">
        <v>345</v>
      </c>
    </row>
    <row r="621" spans="1:37" s="34" customFormat="1" ht="15.75" thickBot="1" x14ac:dyDescent="0.3">
      <c r="B621" s="65" t="s">
        <v>334</v>
      </c>
      <c r="C621" s="34" t="s">
        <v>1480</v>
      </c>
    </row>
    <row r="622" spans="1:37" ht="15.75" thickTop="1" x14ac:dyDescent="0.25">
      <c r="C622" s="15" t="s">
        <v>510</v>
      </c>
      <c r="D622" s="13"/>
      <c r="E622" s="13"/>
      <c r="F622" s="13"/>
      <c r="J622" s="69"/>
      <c r="K622" s="69"/>
      <c r="L622" s="69"/>
      <c r="M622" s="69"/>
      <c r="N622" s="69"/>
    </row>
    <row r="623" spans="1:37" x14ac:dyDescent="0.25">
      <c r="D623" t="s">
        <v>378</v>
      </c>
      <c r="H623" s="223" t="s">
        <v>1015</v>
      </c>
      <c r="J623" s="69"/>
      <c r="K623" s="69"/>
      <c r="L623" s="69"/>
      <c r="M623" s="69"/>
      <c r="N623" s="69"/>
      <c r="Q623">
        <v>12487</v>
      </c>
      <c r="R623">
        <v>12666</v>
      </c>
      <c r="S623">
        <v>12821</v>
      </c>
      <c r="T623">
        <v>12917</v>
      </c>
      <c r="U623">
        <v>13034</v>
      </c>
      <c r="V623">
        <v>13146</v>
      </c>
      <c r="W623">
        <v>13292</v>
      </c>
      <c r="X623">
        <v>13508</v>
      </c>
      <c r="Y623">
        <v>13680</v>
      </c>
      <c r="Z623">
        <v>13848</v>
      </c>
    </row>
    <row r="624" spans="1:37" x14ac:dyDescent="0.25">
      <c r="E624" t="s">
        <v>379</v>
      </c>
      <c r="H624" s="223" t="s">
        <v>1015</v>
      </c>
      <c r="J624" s="69"/>
      <c r="K624" s="69"/>
      <c r="L624" s="69"/>
      <c r="M624" s="69"/>
      <c r="N624" s="69"/>
      <c r="Q624">
        <v>246</v>
      </c>
      <c r="R624">
        <v>223</v>
      </c>
      <c r="S624">
        <v>285</v>
      </c>
      <c r="T624">
        <v>320</v>
      </c>
      <c r="U624">
        <v>326</v>
      </c>
      <c r="V624">
        <v>355</v>
      </c>
      <c r="W624">
        <v>340</v>
      </c>
      <c r="X624">
        <v>300</v>
      </c>
      <c r="Y624">
        <v>249</v>
      </c>
      <c r="Z624">
        <v>208</v>
      </c>
    </row>
    <row r="625" spans="3:27" x14ac:dyDescent="0.25">
      <c r="E625" t="s">
        <v>380</v>
      </c>
      <c r="H625" s="223" t="s">
        <v>1015</v>
      </c>
      <c r="J625" s="69"/>
      <c r="K625" s="69"/>
      <c r="L625" s="69"/>
      <c r="M625" s="69"/>
      <c r="N625" s="69"/>
      <c r="Q625">
        <v>11682</v>
      </c>
      <c r="R625">
        <v>11967</v>
      </c>
      <c r="S625">
        <v>12212</v>
      </c>
      <c r="T625">
        <v>12378</v>
      </c>
      <c r="U625">
        <v>12597</v>
      </c>
      <c r="V625">
        <v>12686</v>
      </c>
      <c r="W625">
        <v>12874</v>
      </c>
      <c r="X625">
        <v>13056</v>
      </c>
      <c r="Y625">
        <v>13159</v>
      </c>
      <c r="Z625">
        <v>13337</v>
      </c>
    </row>
    <row r="626" spans="3:27" x14ac:dyDescent="0.25">
      <c r="F626" t="s">
        <v>381</v>
      </c>
      <c r="H626" s="223" t="s">
        <v>1015</v>
      </c>
      <c r="J626" s="69"/>
      <c r="K626" s="69"/>
      <c r="L626" s="69"/>
      <c r="M626" s="69"/>
      <c r="N626" s="69"/>
      <c r="Q626">
        <v>4110</v>
      </c>
      <c r="R626">
        <v>4574</v>
      </c>
      <c r="S626">
        <v>4671</v>
      </c>
      <c r="T626">
        <v>4471</v>
      </c>
      <c r="U626">
        <v>4456</v>
      </c>
      <c r="V626">
        <v>4450</v>
      </c>
      <c r="W626">
        <v>4509</v>
      </c>
      <c r="X626">
        <v>4684</v>
      </c>
      <c r="Y626">
        <v>4874</v>
      </c>
      <c r="Z626">
        <v>5024</v>
      </c>
    </row>
    <row r="627" spans="3:27" x14ac:dyDescent="0.25">
      <c r="C627" s="15" t="s">
        <v>511</v>
      </c>
      <c r="D627" s="13"/>
      <c r="E627" s="13"/>
      <c r="F627" s="13"/>
      <c r="J627" s="69"/>
      <c r="K627" s="69"/>
      <c r="L627" s="69"/>
      <c r="M627" s="69"/>
      <c r="N627" s="69"/>
    </row>
    <row r="628" spans="3:27" x14ac:dyDescent="0.25">
      <c r="D628" t="s">
        <v>378</v>
      </c>
      <c r="H628" s="223" t="s">
        <v>1015</v>
      </c>
      <c r="J628" s="69"/>
      <c r="K628" s="69"/>
      <c r="L628" s="69"/>
      <c r="M628" s="69"/>
      <c r="N628" s="69"/>
      <c r="Q628">
        <v>7470</v>
      </c>
      <c r="R628">
        <v>7246</v>
      </c>
      <c r="S628">
        <v>7327</v>
      </c>
      <c r="T628">
        <v>7583</v>
      </c>
      <c r="U628">
        <v>7873</v>
      </c>
      <c r="V628">
        <v>8187</v>
      </c>
      <c r="W628">
        <v>8576</v>
      </c>
      <c r="X628">
        <v>8795</v>
      </c>
      <c r="Y628">
        <v>9158</v>
      </c>
      <c r="Z628">
        <v>13848</v>
      </c>
    </row>
    <row r="629" spans="3:27" x14ac:dyDescent="0.25">
      <c r="E629" t="s">
        <v>379</v>
      </c>
      <c r="H629" s="223" t="s">
        <v>1015</v>
      </c>
      <c r="J629" s="69"/>
      <c r="K629" s="69"/>
      <c r="L629" s="69"/>
      <c r="M629" s="69"/>
      <c r="N629" s="69"/>
      <c r="Q629">
        <v>68</v>
      </c>
      <c r="R629">
        <v>53</v>
      </c>
      <c r="S629">
        <v>156</v>
      </c>
      <c r="T629">
        <v>214</v>
      </c>
      <c r="U629">
        <v>233</v>
      </c>
      <c r="V629">
        <v>302</v>
      </c>
      <c r="W629">
        <v>300</v>
      </c>
      <c r="X629">
        <v>260</v>
      </c>
      <c r="Y629">
        <v>202</v>
      </c>
      <c r="Z629">
        <v>208</v>
      </c>
    </row>
    <row r="630" spans="3:27" x14ac:dyDescent="0.25">
      <c r="E630" t="s">
        <v>380</v>
      </c>
      <c r="H630" s="223" t="s">
        <v>1015</v>
      </c>
      <c r="J630" s="69"/>
      <c r="K630" s="69"/>
      <c r="L630" s="69"/>
      <c r="M630" s="69"/>
      <c r="N630" s="69"/>
      <c r="Q630">
        <v>7281</v>
      </c>
      <c r="R630">
        <v>7114</v>
      </c>
      <c r="S630">
        <v>7142</v>
      </c>
      <c r="T630">
        <v>7369</v>
      </c>
      <c r="U630">
        <v>7640</v>
      </c>
      <c r="V630">
        <v>7885</v>
      </c>
      <c r="W630">
        <v>8276</v>
      </c>
      <c r="X630">
        <v>8489</v>
      </c>
      <c r="Y630">
        <v>8779</v>
      </c>
      <c r="Z630">
        <v>8631</v>
      </c>
    </row>
    <row r="631" spans="3:27" x14ac:dyDescent="0.25">
      <c r="F631" t="s">
        <v>381</v>
      </c>
      <c r="H631" s="223" t="s">
        <v>1015</v>
      </c>
      <c r="J631" s="69"/>
      <c r="K631" s="69"/>
      <c r="L631" s="69"/>
      <c r="M631" s="69"/>
      <c r="N631" s="69"/>
      <c r="Q631">
        <v>3142</v>
      </c>
      <c r="R631">
        <v>3306</v>
      </c>
      <c r="S631">
        <v>3328</v>
      </c>
      <c r="T631">
        <v>3257</v>
      </c>
      <c r="U631">
        <v>3328</v>
      </c>
      <c r="V631">
        <v>3426</v>
      </c>
      <c r="W631">
        <v>3701</v>
      </c>
      <c r="X631">
        <v>3799</v>
      </c>
      <c r="Y631">
        <v>4006</v>
      </c>
      <c r="Z631">
        <v>3970</v>
      </c>
    </row>
    <row r="632" spans="3:27" x14ac:dyDescent="0.25">
      <c r="C632" s="15" t="s">
        <v>512</v>
      </c>
      <c r="D632" s="13"/>
      <c r="E632" s="13"/>
      <c r="F632" s="13"/>
      <c r="J632" s="69"/>
      <c r="K632" s="69"/>
      <c r="L632" s="69"/>
      <c r="M632" s="69"/>
      <c r="N632" s="69"/>
    </row>
    <row r="633" spans="3:27" x14ac:dyDescent="0.25">
      <c r="D633" t="s">
        <v>378</v>
      </c>
      <c r="H633" s="223" t="s">
        <v>1015</v>
      </c>
      <c r="J633" s="69"/>
      <c r="K633" s="69"/>
      <c r="L633" s="69"/>
      <c r="M633" s="69"/>
      <c r="N633" s="69"/>
      <c r="Q633">
        <v>4542</v>
      </c>
      <c r="R633">
        <v>4517</v>
      </c>
      <c r="S633">
        <v>4461</v>
      </c>
      <c r="T633">
        <v>4480</v>
      </c>
      <c r="U633">
        <v>4644</v>
      </c>
      <c r="V633">
        <v>4953</v>
      </c>
      <c r="W633">
        <v>5132</v>
      </c>
      <c r="X633">
        <v>5142</v>
      </c>
      <c r="Y633">
        <v>5287</v>
      </c>
      <c r="Z633" s="223">
        <v>5448</v>
      </c>
      <c r="AA633" s="223"/>
    </row>
    <row r="634" spans="3:27" x14ac:dyDescent="0.25">
      <c r="E634" t="s">
        <v>379</v>
      </c>
      <c r="H634" s="223" t="s">
        <v>1015</v>
      </c>
      <c r="J634" s="69"/>
      <c r="K634" s="69"/>
      <c r="L634" s="69"/>
      <c r="M634" s="69"/>
      <c r="N634" s="69"/>
      <c r="Q634">
        <v>68</v>
      </c>
      <c r="R634">
        <v>41</v>
      </c>
      <c r="S634">
        <v>76</v>
      </c>
      <c r="T634">
        <v>152</v>
      </c>
      <c r="U634">
        <v>159</v>
      </c>
      <c r="V634">
        <v>227</v>
      </c>
      <c r="W634">
        <v>244</v>
      </c>
      <c r="X634">
        <v>239</v>
      </c>
      <c r="Y634">
        <v>196</v>
      </c>
      <c r="Z634">
        <v>206</v>
      </c>
    </row>
    <row r="635" spans="3:27" x14ac:dyDescent="0.25">
      <c r="E635" t="s">
        <v>380</v>
      </c>
      <c r="H635" s="223" t="s">
        <v>1015</v>
      </c>
      <c r="J635" s="69"/>
      <c r="K635" s="69"/>
      <c r="L635" s="69"/>
      <c r="M635" s="69"/>
      <c r="N635" s="69"/>
      <c r="Q635">
        <v>4474</v>
      </c>
      <c r="R635">
        <v>4476</v>
      </c>
      <c r="S635">
        <v>4385</v>
      </c>
      <c r="T635">
        <v>4328</v>
      </c>
      <c r="U635">
        <v>4485</v>
      </c>
      <c r="V635">
        <v>4726</v>
      </c>
      <c r="W635">
        <v>4888</v>
      </c>
      <c r="X635">
        <v>4903</v>
      </c>
      <c r="Y635">
        <v>5091</v>
      </c>
      <c r="Z635">
        <v>5242</v>
      </c>
    </row>
    <row r="636" spans="3:27" x14ac:dyDescent="0.25">
      <c r="F636" t="s">
        <v>381</v>
      </c>
      <c r="J636" s="69"/>
      <c r="K636" s="69"/>
      <c r="L636" s="69"/>
      <c r="M636" s="69"/>
      <c r="N636" s="69"/>
      <c r="Q636">
        <v>1279</v>
      </c>
      <c r="R636">
        <v>1559</v>
      </c>
      <c r="S636">
        <v>1463</v>
      </c>
      <c r="T636">
        <v>1309</v>
      </c>
      <c r="U636">
        <v>1322</v>
      </c>
      <c r="V636">
        <v>1441</v>
      </c>
      <c r="W636">
        <v>1419</v>
      </c>
      <c r="X636">
        <v>1410</v>
      </c>
      <c r="Y636">
        <v>1488</v>
      </c>
      <c r="Z636">
        <v>1517</v>
      </c>
    </row>
    <row r="637" spans="3:27" x14ac:dyDescent="0.25">
      <c r="C637" s="15" t="s">
        <v>513</v>
      </c>
      <c r="D637" s="13"/>
      <c r="E637" s="13"/>
      <c r="F637" s="13"/>
      <c r="H637" s="223" t="s">
        <v>1015</v>
      </c>
      <c r="J637" s="69"/>
      <c r="K637" s="69"/>
      <c r="L637" s="69"/>
      <c r="M637" s="69"/>
      <c r="N637" s="69"/>
    </row>
    <row r="638" spans="3:27" x14ac:dyDescent="0.25">
      <c r="D638" t="s">
        <v>378</v>
      </c>
      <c r="H638" s="223" t="s">
        <v>1015</v>
      </c>
      <c r="J638" s="69"/>
      <c r="K638" s="69"/>
      <c r="L638" s="69"/>
      <c r="M638" s="69"/>
      <c r="N638" s="69"/>
      <c r="Q638">
        <v>2928</v>
      </c>
      <c r="R638">
        <v>2729</v>
      </c>
      <c r="S638">
        <v>2866</v>
      </c>
      <c r="T638">
        <v>3103</v>
      </c>
      <c r="U638">
        <v>3229</v>
      </c>
      <c r="V638">
        <v>3234</v>
      </c>
      <c r="W638">
        <v>3444</v>
      </c>
      <c r="X638">
        <v>3653</v>
      </c>
      <c r="Y638">
        <v>3871</v>
      </c>
      <c r="Z638">
        <v>3571</v>
      </c>
    </row>
    <row r="639" spans="3:27" x14ac:dyDescent="0.25">
      <c r="E639" t="s">
        <v>379</v>
      </c>
      <c r="H639" s="223" t="s">
        <v>1015</v>
      </c>
      <c r="J639" s="69"/>
      <c r="K639" s="69"/>
      <c r="L639" s="69"/>
      <c r="M639" s="69"/>
      <c r="N639" s="69"/>
      <c r="Q639">
        <v>0</v>
      </c>
      <c r="R639">
        <v>12</v>
      </c>
      <c r="S639">
        <v>80</v>
      </c>
      <c r="T639">
        <v>62</v>
      </c>
      <c r="U639">
        <v>74</v>
      </c>
      <c r="V639">
        <v>75</v>
      </c>
      <c r="W639">
        <v>56</v>
      </c>
      <c r="X639">
        <v>21</v>
      </c>
      <c r="Y639">
        <v>6</v>
      </c>
      <c r="Z639">
        <v>2</v>
      </c>
    </row>
    <row r="640" spans="3:27" x14ac:dyDescent="0.25">
      <c r="E640" t="s">
        <v>380</v>
      </c>
      <c r="H640" s="223" t="s">
        <v>1015</v>
      </c>
      <c r="J640" s="69"/>
      <c r="K640" s="69"/>
      <c r="L640" s="69"/>
      <c r="M640" s="69"/>
      <c r="N640" s="69"/>
      <c r="Q640">
        <v>2807</v>
      </c>
      <c r="R640">
        <v>2638</v>
      </c>
      <c r="S640">
        <v>2757</v>
      </c>
      <c r="T640">
        <v>3041</v>
      </c>
      <c r="U640">
        <v>3155</v>
      </c>
      <c r="V640">
        <v>3159</v>
      </c>
      <c r="W640">
        <v>3388</v>
      </c>
      <c r="X640">
        <v>3586</v>
      </c>
      <c r="Y640">
        <v>3688</v>
      </c>
      <c r="Z640">
        <v>3389</v>
      </c>
    </row>
    <row r="641" spans="1:26" x14ac:dyDescent="0.25">
      <c r="F641" t="s">
        <v>381</v>
      </c>
      <c r="H641" s="223" t="s">
        <v>1015</v>
      </c>
      <c r="J641" s="69"/>
      <c r="K641" s="69"/>
      <c r="L641" s="69"/>
      <c r="M641" s="69"/>
      <c r="N641" s="69"/>
      <c r="Q641">
        <v>1863</v>
      </c>
      <c r="R641">
        <v>1747</v>
      </c>
      <c r="S641">
        <v>1865</v>
      </c>
      <c r="T641">
        <v>1948</v>
      </c>
      <c r="U641">
        <v>2006</v>
      </c>
      <c r="V641">
        <v>1985</v>
      </c>
      <c r="W641">
        <v>2282</v>
      </c>
      <c r="X641">
        <v>2389</v>
      </c>
      <c r="Y641">
        <v>2518</v>
      </c>
      <c r="Z641">
        <v>2453</v>
      </c>
    </row>
    <row r="642" spans="1:26" x14ac:dyDescent="0.25">
      <c r="C642" s="15" t="s">
        <v>514</v>
      </c>
      <c r="D642" s="13"/>
      <c r="E642" s="13"/>
      <c r="F642" s="13"/>
      <c r="J642" s="69"/>
      <c r="K642" s="69"/>
      <c r="L642" s="69"/>
      <c r="M642" s="69"/>
      <c r="N642" s="69"/>
    </row>
    <row r="643" spans="1:26" x14ac:dyDescent="0.25">
      <c r="D643" t="s">
        <v>378</v>
      </c>
      <c r="H643" t="s">
        <v>1513</v>
      </c>
      <c r="J643" s="69"/>
      <c r="K643" s="69"/>
      <c r="L643" s="69"/>
      <c r="M643" s="69"/>
      <c r="N643" s="69"/>
      <c r="Q643">
        <v>2.4900000000000002</v>
      </c>
      <c r="R643">
        <v>2.69</v>
      </c>
      <c r="S643">
        <v>2.68</v>
      </c>
      <c r="T643">
        <v>2.5499999999999998</v>
      </c>
      <c r="U643">
        <v>2.59</v>
      </c>
      <c r="V643">
        <v>2.5499999999999998</v>
      </c>
      <c r="W643">
        <v>2.4900000000000002</v>
      </c>
      <c r="X643">
        <v>2.44</v>
      </c>
      <c r="Y643">
        <v>2.4900000000000002</v>
      </c>
      <c r="Z643">
        <v>2.4500000000000002</v>
      </c>
    </row>
    <row r="644" spans="1:26" x14ac:dyDescent="0.25">
      <c r="E644" t="s">
        <v>379</v>
      </c>
      <c r="H644" s="223" t="s">
        <v>1513</v>
      </c>
      <c r="J644" s="69"/>
      <c r="K644" s="69"/>
      <c r="L644" s="69"/>
      <c r="M644" s="69"/>
      <c r="N644" s="69"/>
      <c r="Q644">
        <v>4.5599999999999996</v>
      </c>
      <c r="R644">
        <v>3.17</v>
      </c>
      <c r="S644">
        <v>2.5499999999999998</v>
      </c>
      <c r="T644">
        <v>1.46</v>
      </c>
      <c r="U644">
        <v>1.55</v>
      </c>
      <c r="V644">
        <v>1.56</v>
      </c>
      <c r="W644">
        <v>1.72</v>
      </c>
      <c r="X644">
        <v>1.69</v>
      </c>
      <c r="Y644">
        <v>1.92</v>
      </c>
      <c r="Z644">
        <v>2.25</v>
      </c>
    </row>
    <row r="645" spans="1:26" x14ac:dyDescent="0.25">
      <c r="E645" t="s">
        <v>380</v>
      </c>
      <c r="H645" s="223" t="s">
        <v>1513</v>
      </c>
      <c r="J645" s="69"/>
      <c r="K645" s="69"/>
      <c r="L645" s="69"/>
      <c r="M645" s="69"/>
      <c r="N645" s="69"/>
      <c r="Q645">
        <v>2.46</v>
      </c>
      <c r="R645">
        <v>2.68</v>
      </c>
      <c r="S645">
        <v>2.68</v>
      </c>
      <c r="T645">
        <v>2.59</v>
      </c>
      <c r="U645">
        <v>2.62</v>
      </c>
      <c r="V645">
        <v>2.59</v>
      </c>
      <c r="W645">
        <v>2.52</v>
      </c>
      <c r="X645">
        <v>2.48</v>
      </c>
      <c r="Y645">
        <v>2.5099999999999998</v>
      </c>
      <c r="Z645">
        <v>2.46</v>
      </c>
    </row>
    <row r="646" spans="1:26" x14ac:dyDescent="0.25">
      <c r="F646" t="s">
        <v>381</v>
      </c>
      <c r="H646" s="223" t="s">
        <v>1513</v>
      </c>
      <c r="J646" s="69"/>
      <c r="K646" s="69"/>
      <c r="L646" s="69"/>
      <c r="M646" s="69"/>
      <c r="N646" s="69"/>
      <c r="Q646">
        <v>2.39</v>
      </c>
      <c r="R646">
        <v>2.4700000000000002</v>
      </c>
      <c r="S646">
        <v>2.5099999999999998</v>
      </c>
      <c r="T646">
        <v>2.67</v>
      </c>
      <c r="U646">
        <v>2.9</v>
      </c>
      <c r="V646">
        <v>2.86</v>
      </c>
      <c r="W646">
        <v>2.67</v>
      </c>
      <c r="X646">
        <v>2.66</v>
      </c>
      <c r="Y646">
        <v>2.64</v>
      </c>
      <c r="Z646">
        <v>2.4700000000000002</v>
      </c>
    </row>
    <row r="647" spans="1:26" x14ac:dyDescent="0.25">
      <c r="C647" s="15" t="s">
        <v>515</v>
      </c>
      <c r="D647" s="13"/>
      <c r="E647" s="13"/>
      <c r="F647" s="13"/>
      <c r="J647" s="69"/>
      <c r="K647" s="69"/>
      <c r="L647" s="69"/>
      <c r="M647" s="69"/>
      <c r="N647" s="69"/>
    </row>
    <row r="648" spans="1:26" x14ac:dyDescent="0.25">
      <c r="D648" t="s">
        <v>378</v>
      </c>
      <c r="H648" s="223" t="s">
        <v>1513</v>
      </c>
      <c r="J648" s="69"/>
      <c r="K648" s="69"/>
      <c r="L648" s="69"/>
      <c r="M648" s="69"/>
      <c r="N648" s="69"/>
      <c r="Q648">
        <v>3.13</v>
      </c>
      <c r="R648">
        <v>3.15</v>
      </c>
      <c r="S648">
        <v>3.08</v>
      </c>
      <c r="T648">
        <v>3.06</v>
      </c>
      <c r="U648">
        <v>2.85</v>
      </c>
      <c r="V648">
        <v>2.75</v>
      </c>
      <c r="W648">
        <v>2.62</v>
      </c>
      <c r="X648">
        <v>2.59</v>
      </c>
      <c r="Y648">
        <v>2.31</v>
      </c>
      <c r="Z648">
        <v>2.5</v>
      </c>
    </row>
    <row r="649" spans="1:26" x14ac:dyDescent="0.25">
      <c r="E649" t="s">
        <v>379</v>
      </c>
      <c r="H649" s="223" t="s">
        <v>1513</v>
      </c>
      <c r="J649" s="69"/>
      <c r="K649" s="69"/>
      <c r="L649" s="69"/>
      <c r="M649" s="69"/>
      <c r="N649" s="69"/>
      <c r="R649">
        <v>1.92</v>
      </c>
      <c r="S649">
        <v>2.0099999999999998</v>
      </c>
      <c r="T649">
        <v>3.03</v>
      </c>
      <c r="U649">
        <v>2.8</v>
      </c>
      <c r="V649">
        <v>3.08</v>
      </c>
      <c r="W649">
        <v>3.29</v>
      </c>
      <c r="X649">
        <v>5.29</v>
      </c>
    </row>
    <row r="650" spans="1:26" x14ac:dyDescent="0.25">
      <c r="E650" t="s">
        <v>380</v>
      </c>
      <c r="H650" s="223" t="s">
        <v>1513</v>
      </c>
      <c r="J650" s="69"/>
      <c r="K650" s="69"/>
      <c r="L650" s="69"/>
      <c r="M650" s="69"/>
      <c r="N650" s="69"/>
      <c r="Q650">
        <v>3.22</v>
      </c>
      <c r="R650">
        <v>3.22</v>
      </c>
      <c r="S650">
        <v>3.14</v>
      </c>
      <c r="T650">
        <v>3.06</v>
      </c>
      <c r="U650">
        <v>2.85</v>
      </c>
      <c r="V650">
        <v>2.75</v>
      </c>
      <c r="W650">
        <v>2.61</v>
      </c>
      <c r="X650">
        <v>2.59</v>
      </c>
      <c r="Y650">
        <v>2.36</v>
      </c>
      <c r="Z650">
        <v>2.56</v>
      </c>
    </row>
    <row r="651" spans="1:26" x14ac:dyDescent="0.25">
      <c r="F651" t="s">
        <v>381</v>
      </c>
      <c r="H651" s="223" t="s">
        <v>1513</v>
      </c>
      <c r="J651" s="69"/>
      <c r="K651" s="69"/>
      <c r="L651" s="69"/>
      <c r="M651" s="69"/>
      <c r="N651" s="69"/>
      <c r="Q651">
        <v>3.41</v>
      </c>
      <c r="R651">
        <v>3.19</v>
      </c>
      <c r="S651">
        <v>3.15</v>
      </c>
      <c r="T651">
        <v>3.17</v>
      </c>
      <c r="U651">
        <v>3.01</v>
      </c>
      <c r="V651">
        <v>2.99</v>
      </c>
      <c r="W651">
        <v>2.81</v>
      </c>
      <c r="X651">
        <v>2.76</v>
      </c>
      <c r="Y651">
        <v>2.57</v>
      </c>
      <c r="Z651">
        <v>2.74</v>
      </c>
    </row>
    <row r="652" spans="1:26" s="3" customFormat="1" x14ac:dyDescent="0.25">
      <c r="B652" s="4"/>
      <c r="J652" s="73"/>
      <c r="K652" s="73"/>
      <c r="L652" s="73"/>
      <c r="M652" s="73"/>
      <c r="N652" s="73"/>
      <c r="R652" s="3">
        <v>3.19</v>
      </c>
    </row>
    <row r="653" spans="1:26" s="37" customFormat="1" ht="17.25" x14ac:dyDescent="0.3">
      <c r="A653" s="37" t="s">
        <v>516</v>
      </c>
    </row>
    <row r="654" spans="1:26" x14ac:dyDescent="0.25">
      <c r="B654" s="64" t="s">
        <v>31</v>
      </c>
      <c r="C654" t="s">
        <v>517</v>
      </c>
    </row>
    <row r="655" spans="1:26" x14ac:dyDescent="0.25">
      <c r="B655" s="64" t="s">
        <v>32</v>
      </c>
      <c r="C655" s="195" t="s">
        <v>326</v>
      </c>
    </row>
    <row r="656" spans="1:26" x14ac:dyDescent="0.25">
      <c r="B656" s="64" t="s">
        <v>331</v>
      </c>
      <c r="C656" s="5" t="s">
        <v>1481</v>
      </c>
    </row>
    <row r="657" spans="2:37" x14ac:dyDescent="0.25">
      <c r="B657" s="64" t="s">
        <v>332</v>
      </c>
      <c r="C657" t="s">
        <v>345</v>
      </c>
    </row>
    <row r="658" spans="2:37" s="34" customFormat="1" ht="15.75" thickBot="1" x14ac:dyDescent="0.3">
      <c r="B658" s="65" t="s">
        <v>334</v>
      </c>
      <c r="C658" s="34" t="s">
        <v>1480</v>
      </c>
    </row>
    <row r="659" spans="2:37" ht="15.75" thickTop="1" x14ac:dyDescent="0.25">
      <c r="C659" s="15" t="s">
        <v>378</v>
      </c>
      <c r="D659" s="13"/>
      <c r="E659" s="13"/>
      <c r="F659" s="13"/>
      <c r="J659" s="69"/>
      <c r="K659" s="69"/>
      <c r="L659" s="69"/>
      <c r="M659" s="69"/>
      <c r="N659" s="69"/>
      <c r="Q659" s="59"/>
      <c r="R659" s="59"/>
      <c r="S659" s="59"/>
      <c r="T659" s="59"/>
      <c r="U659" s="59"/>
      <c r="V659" s="59"/>
      <c r="W659" s="59"/>
      <c r="X659" s="59"/>
      <c r="Y659" s="59"/>
      <c r="Z659" s="59"/>
      <c r="AA659" s="59"/>
      <c r="AB659" s="59"/>
      <c r="AC659" s="59"/>
      <c r="AD659" s="59"/>
      <c r="AE659" s="59"/>
      <c r="AF659" s="59"/>
      <c r="AG659" s="59"/>
      <c r="AH659" s="59"/>
      <c r="AI659" s="59"/>
      <c r="AJ659" s="59"/>
      <c r="AK659" s="59"/>
    </row>
    <row r="660" spans="2:37" x14ac:dyDescent="0.25">
      <c r="D660" t="s">
        <v>518</v>
      </c>
      <c r="H660" t="s">
        <v>1015</v>
      </c>
      <c r="J660" s="69"/>
      <c r="K660" s="69"/>
      <c r="L660" s="69"/>
      <c r="M660" s="69"/>
      <c r="N660" s="69"/>
      <c r="Q660" s="59">
        <f t="shared" ref="Q660:AK660" si="147">SUM(Q661:Q667)</f>
        <v>5017</v>
      </c>
      <c r="R660" s="59">
        <f t="shared" si="147"/>
        <v>5420</v>
      </c>
      <c r="S660" s="59">
        <f t="shared" si="147"/>
        <v>5494</v>
      </c>
      <c r="T660" s="59">
        <f t="shared" si="147"/>
        <v>5334</v>
      </c>
      <c r="U660" s="59">
        <f t="shared" si="147"/>
        <v>5161</v>
      </c>
      <c r="V660" s="59">
        <f t="shared" si="147"/>
        <v>4959</v>
      </c>
      <c r="W660" s="59">
        <f t="shared" si="147"/>
        <v>4716</v>
      </c>
      <c r="X660" s="59">
        <f t="shared" si="147"/>
        <v>4713</v>
      </c>
      <c r="Y660" s="59">
        <f t="shared" si="147"/>
        <v>4522</v>
      </c>
      <c r="Z660" s="59">
        <f t="shared" si="147"/>
        <v>4829</v>
      </c>
      <c r="AA660" s="59">
        <f t="shared" si="147"/>
        <v>0</v>
      </c>
      <c r="AB660" s="59">
        <f t="shared" si="147"/>
        <v>0</v>
      </c>
      <c r="AC660" s="59">
        <f t="shared" si="147"/>
        <v>0</v>
      </c>
      <c r="AD660" s="59">
        <f t="shared" si="147"/>
        <v>0</v>
      </c>
      <c r="AE660" s="59">
        <f t="shared" si="147"/>
        <v>0</v>
      </c>
      <c r="AF660" s="59">
        <f t="shared" si="147"/>
        <v>0</v>
      </c>
      <c r="AG660" s="59">
        <f t="shared" si="147"/>
        <v>0</v>
      </c>
      <c r="AH660" s="59">
        <f t="shared" si="147"/>
        <v>0</v>
      </c>
      <c r="AI660" s="59">
        <f t="shared" si="147"/>
        <v>0</v>
      </c>
      <c r="AJ660" s="59">
        <f t="shared" si="147"/>
        <v>0</v>
      </c>
      <c r="AK660" s="59">
        <f t="shared" si="147"/>
        <v>0</v>
      </c>
    </row>
    <row r="661" spans="2:37" x14ac:dyDescent="0.25">
      <c r="E661" t="s">
        <v>520</v>
      </c>
      <c r="H661" s="223" t="s">
        <v>1015</v>
      </c>
      <c r="J661" s="69"/>
      <c r="K661" s="69"/>
      <c r="L661" s="69"/>
      <c r="M661" s="69"/>
      <c r="N661" s="69"/>
      <c r="Q661" s="59">
        <v>604</v>
      </c>
      <c r="R661" s="59">
        <v>622</v>
      </c>
      <c r="S661" s="59">
        <v>706</v>
      </c>
      <c r="T661" s="59">
        <v>657</v>
      </c>
      <c r="U661" s="59">
        <v>631</v>
      </c>
      <c r="V661" s="59">
        <v>690</v>
      </c>
      <c r="W661" s="59">
        <v>724</v>
      </c>
      <c r="X661" s="59">
        <v>936</v>
      </c>
      <c r="Y661" s="59">
        <v>1035</v>
      </c>
      <c r="Z661" s="287">
        <v>1208</v>
      </c>
      <c r="AA661" s="59"/>
      <c r="AB661" s="59"/>
      <c r="AC661" s="59"/>
      <c r="AD661" s="59"/>
      <c r="AE661" s="59"/>
      <c r="AF661" s="59"/>
      <c r="AG661" s="59"/>
      <c r="AH661" s="59"/>
      <c r="AI661" s="59"/>
      <c r="AJ661" s="59"/>
      <c r="AK661" s="59"/>
    </row>
    <row r="662" spans="2:37" x14ac:dyDescent="0.25">
      <c r="E662" t="s">
        <v>519</v>
      </c>
      <c r="H662" s="223" t="s">
        <v>1015</v>
      </c>
      <c r="J662" s="69"/>
      <c r="K662" s="69"/>
      <c r="L662" s="69"/>
      <c r="M662" s="69"/>
      <c r="N662" s="69"/>
      <c r="Q662" s="59">
        <v>104</v>
      </c>
      <c r="R662" s="59">
        <v>101</v>
      </c>
      <c r="S662" s="59">
        <v>81</v>
      </c>
      <c r="T662" s="59">
        <v>49</v>
      </c>
      <c r="U662" s="59">
        <v>22</v>
      </c>
      <c r="V662" s="59">
        <v>51</v>
      </c>
      <c r="W662" s="59">
        <v>81</v>
      </c>
      <c r="X662" s="59">
        <v>108</v>
      </c>
      <c r="Y662" s="59">
        <v>152</v>
      </c>
      <c r="Z662" s="287">
        <v>158</v>
      </c>
      <c r="AA662" s="59"/>
      <c r="AB662" s="59"/>
      <c r="AC662" s="59"/>
      <c r="AD662" s="59"/>
      <c r="AE662" s="59"/>
      <c r="AF662" s="59"/>
      <c r="AG662" s="59"/>
      <c r="AH662" s="59"/>
      <c r="AI662" s="59"/>
      <c r="AJ662" s="59"/>
      <c r="AK662" s="59"/>
    </row>
    <row r="663" spans="2:37" x14ac:dyDescent="0.25">
      <c r="E663" t="s">
        <v>521</v>
      </c>
      <c r="H663" s="223" t="s">
        <v>1015</v>
      </c>
      <c r="J663" s="69"/>
      <c r="K663" s="69"/>
      <c r="L663" s="69"/>
      <c r="M663" s="69"/>
      <c r="N663" s="69"/>
      <c r="Q663" s="59">
        <v>82</v>
      </c>
      <c r="R663" s="59">
        <v>110</v>
      </c>
      <c r="S663" s="59">
        <v>115</v>
      </c>
      <c r="T663" s="59">
        <v>130</v>
      </c>
      <c r="U663" s="59">
        <v>126</v>
      </c>
      <c r="V663" s="59">
        <v>103</v>
      </c>
      <c r="W663" s="59">
        <v>60</v>
      </c>
      <c r="X663" s="59">
        <v>40</v>
      </c>
      <c r="Y663" s="59">
        <v>109</v>
      </c>
      <c r="Z663" s="287">
        <v>113</v>
      </c>
      <c r="AA663" s="59"/>
      <c r="AB663" s="59"/>
      <c r="AC663" s="59"/>
      <c r="AD663" s="59"/>
      <c r="AE663" s="59"/>
      <c r="AF663" s="59"/>
      <c r="AG663" s="59"/>
      <c r="AH663" s="59"/>
      <c r="AI663" s="59"/>
      <c r="AJ663" s="59"/>
      <c r="AK663" s="59"/>
    </row>
    <row r="664" spans="2:37" x14ac:dyDescent="0.25">
      <c r="E664" t="s">
        <v>522</v>
      </c>
      <c r="H664" s="223" t="s">
        <v>1015</v>
      </c>
      <c r="J664" s="69"/>
      <c r="K664" s="69"/>
      <c r="L664" s="69"/>
      <c r="M664" s="69"/>
      <c r="N664" s="69"/>
      <c r="Q664" s="59">
        <v>55</v>
      </c>
      <c r="R664" s="59">
        <v>59</v>
      </c>
      <c r="S664" s="59">
        <v>65</v>
      </c>
      <c r="T664" s="59">
        <v>122</v>
      </c>
      <c r="U664" s="59">
        <v>98</v>
      </c>
      <c r="V664" s="59">
        <v>99</v>
      </c>
      <c r="W664" s="59">
        <v>60</v>
      </c>
      <c r="X664" s="59">
        <v>53</v>
      </c>
      <c r="Y664" s="59">
        <v>0</v>
      </c>
      <c r="Z664" s="287">
        <v>33</v>
      </c>
      <c r="AA664" s="59"/>
      <c r="AB664" s="59"/>
      <c r="AC664" s="59"/>
      <c r="AD664" s="59"/>
      <c r="AE664" s="59"/>
      <c r="AF664" s="59"/>
      <c r="AG664" s="59"/>
      <c r="AH664" s="59"/>
      <c r="AI664" s="59"/>
      <c r="AJ664" s="59"/>
      <c r="AK664" s="59"/>
    </row>
    <row r="665" spans="2:37" x14ac:dyDescent="0.25">
      <c r="E665" t="s">
        <v>1537</v>
      </c>
      <c r="H665" s="223" t="s">
        <v>1015</v>
      </c>
      <c r="J665" s="69"/>
      <c r="K665" s="69"/>
      <c r="L665" s="69"/>
      <c r="M665" s="69"/>
      <c r="N665" s="69"/>
      <c r="Q665" s="59">
        <v>3881</v>
      </c>
      <c r="R665" s="59">
        <v>4092</v>
      </c>
      <c r="S665" s="59">
        <v>4118</v>
      </c>
      <c r="T665" s="59">
        <v>3946</v>
      </c>
      <c r="U665" s="59">
        <v>3807</v>
      </c>
      <c r="V665" s="59">
        <v>3554</v>
      </c>
      <c r="W665" s="59">
        <v>3436</v>
      </c>
      <c r="X665" s="59">
        <v>3065</v>
      </c>
      <c r="Y665" s="59">
        <v>2747</v>
      </c>
      <c r="Z665" s="287">
        <v>2766</v>
      </c>
      <c r="AA665" s="59"/>
      <c r="AB665" s="59"/>
      <c r="AC665" s="59"/>
      <c r="AD665" s="59"/>
      <c r="AE665" s="59"/>
      <c r="AF665" s="59"/>
      <c r="AG665" s="59"/>
      <c r="AH665" s="59"/>
      <c r="AI665" s="59"/>
      <c r="AJ665" s="59"/>
      <c r="AK665" s="59"/>
    </row>
    <row r="666" spans="2:37" x14ac:dyDescent="0.25">
      <c r="E666" t="s">
        <v>523</v>
      </c>
      <c r="H666" s="223" t="s">
        <v>1015</v>
      </c>
      <c r="J666" s="69"/>
      <c r="K666" s="69"/>
      <c r="L666" s="69"/>
      <c r="M666" s="69"/>
      <c r="N666" s="69"/>
      <c r="Q666" s="59">
        <v>43</v>
      </c>
      <c r="R666" s="59">
        <v>41</v>
      </c>
      <c r="S666" s="59">
        <v>66</v>
      </c>
      <c r="T666" s="59">
        <v>29</v>
      </c>
      <c r="U666" s="59">
        <v>28</v>
      </c>
      <c r="V666" s="59">
        <v>29</v>
      </c>
      <c r="W666" s="59">
        <v>28</v>
      </c>
      <c r="X666" s="59">
        <v>0</v>
      </c>
      <c r="Y666" s="59">
        <v>0</v>
      </c>
      <c r="Z666" s="288">
        <v>0</v>
      </c>
      <c r="AA666" s="59"/>
      <c r="AB666" s="59"/>
      <c r="AC666" s="59"/>
      <c r="AD666" s="59"/>
      <c r="AE666" s="59"/>
      <c r="AF666" s="59"/>
      <c r="AG666" s="59"/>
      <c r="AH666" s="59"/>
      <c r="AI666" s="59"/>
      <c r="AJ666" s="59"/>
      <c r="AK666" s="59"/>
    </row>
    <row r="667" spans="2:37" x14ac:dyDescent="0.25">
      <c r="E667" t="s">
        <v>524</v>
      </c>
      <c r="H667" s="223" t="s">
        <v>1015</v>
      </c>
      <c r="J667" s="69"/>
      <c r="K667" s="69"/>
      <c r="L667" s="69"/>
      <c r="M667" s="69"/>
      <c r="N667" s="69"/>
      <c r="Q667" s="59">
        <v>248</v>
      </c>
      <c r="R667" s="59">
        <v>395</v>
      </c>
      <c r="S667" s="59">
        <v>343</v>
      </c>
      <c r="T667" s="59">
        <v>401</v>
      </c>
      <c r="U667" s="59">
        <v>449</v>
      </c>
      <c r="V667" s="59">
        <v>433</v>
      </c>
      <c r="W667" s="59">
        <v>327</v>
      </c>
      <c r="X667" s="59">
        <v>511</v>
      </c>
      <c r="Y667" s="59">
        <v>479</v>
      </c>
      <c r="Z667" s="286">
        <v>551</v>
      </c>
      <c r="AA667" s="59"/>
      <c r="AB667" s="59"/>
      <c r="AC667" s="59"/>
      <c r="AD667" s="59"/>
      <c r="AE667" s="59"/>
      <c r="AF667" s="59"/>
      <c r="AG667" s="59"/>
      <c r="AH667" s="59"/>
      <c r="AI667" s="59"/>
      <c r="AJ667" s="59"/>
      <c r="AK667" s="59"/>
    </row>
    <row r="668" spans="2:37" x14ac:dyDescent="0.25">
      <c r="C668" s="15" t="s">
        <v>379</v>
      </c>
      <c r="D668" s="13"/>
      <c r="E668" s="13"/>
      <c r="F668" s="13"/>
      <c r="J668" s="69"/>
      <c r="K668" s="69"/>
      <c r="L668" s="69"/>
      <c r="M668" s="69"/>
      <c r="N668" s="69"/>
      <c r="Q668" s="59"/>
      <c r="R668" s="59"/>
      <c r="S668" s="59"/>
      <c r="T668" s="59"/>
      <c r="U668" s="59"/>
      <c r="V668" s="59"/>
      <c r="W668" s="59"/>
      <c r="X668" s="59"/>
      <c r="Y668" s="59"/>
      <c r="AA668" s="59"/>
      <c r="AB668" s="59"/>
      <c r="AC668" s="59"/>
      <c r="AD668" s="59"/>
      <c r="AE668" s="59"/>
      <c r="AF668" s="59"/>
      <c r="AG668" s="59"/>
      <c r="AH668" s="59"/>
      <c r="AI668" s="59"/>
      <c r="AJ668" s="59"/>
      <c r="AK668" s="59"/>
    </row>
    <row r="669" spans="2:37" x14ac:dyDescent="0.25">
      <c r="D669" t="s">
        <v>518</v>
      </c>
      <c r="H669" s="223" t="s">
        <v>1015</v>
      </c>
      <c r="J669" s="69"/>
      <c r="K669" s="69"/>
      <c r="L669" s="69"/>
      <c r="M669" s="69"/>
      <c r="N669" s="69"/>
      <c r="Q669" s="59">
        <f t="shared" ref="Q669:AK669" si="148">SUM(Q670:Q676)</f>
        <v>178</v>
      </c>
      <c r="R669" s="59">
        <f t="shared" si="148"/>
        <v>170</v>
      </c>
      <c r="S669" s="59">
        <f t="shared" si="148"/>
        <v>129</v>
      </c>
      <c r="T669" s="59">
        <f t="shared" si="148"/>
        <v>106</v>
      </c>
      <c r="U669" s="59">
        <f t="shared" si="148"/>
        <v>93</v>
      </c>
      <c r="V669" s="59">
        <f t="shared" si="148"/>
        <v>53</v>
      </c>
      <c r="W669" s="59">
        <f t="shared" si="148"/>
        <v>40</v>
      </c>
      <c r="X669" s="59">
        <f t="shared" si="148"/>
        <v>40</v>
      </c>
      <c r="Y669" s="59">
        <f t="shared" si="148"/>
        <v>47</v>
      </c>
      <c r="Z669" s="59">
        <f>SUM(Z670:Z676)</f>
        <v>0</v>
      </c>
      <c r="AA669" s="59">
        <f t="shared" si="148"/>
        <v>0</v>
      </c>
      <c r="AB669" s="59">
        <f t="shared" si="148"/>
        <v>0</v>
      </c>
      <c r="AC669" s="59">
        <f t="shared" si="148"/>
        <v>0</v>
      </c>
      <c r="AD669" s="59">
        <f t="shared" si="148"/>
        <v>0</v>
      </c>
      <c r="AE669" s="59">
        <f t="shared" si="148"/>
        <v>0</v>
      </c>
      <c r="AF669" s="59">
        <f t="shared" si="148"/>
        <v>0</v>
      </c>
      <c r="AG669" s="59">
        <f t="shared" si="148"/>
        <v>0</v>
      </c>
      <c r="AH669" s="59">
        <f t="shared" si="148"/>
        <v>0</v>
      </c>
      <c r="AI669" s="59">
        <f t="shared" si="148"/>
        <v>0</v>
      </c>
      <c r="AJ669" s="59">
        <f t="shared" si="148"/>
        <v>0</v>
      </c>
      <c r="AK669" s="59">
        <f t="shared" si="148"/>
        <v>0</v>
      </c>
    </row>
    <row r="670" spans="2:37" x14ac:dyDescent="0.25">
      <c r="E670" t="s">
        <v>520</v>
      </c>
      <c r="H670" s="223" t="s">
        <v>1015</v>
      </c>
      <c r="J670" s="69"/>
      <c r="K670" s="69"/>
      <c r="L670" s="69"/>
      <c r="M670" s="69"/>
      <c r="N670" s="69"/>
      <c r="Q670" s="59">
        <v>17</v>
      </c>
      <c r="R670" s="59">
        <v>18</v>
      </c>
      <c r="S670" s="59">
        <v>16</v>
      </c>
      <c r="T670" s="59">
        <v>0</v>
      </c>
      <c r="U670" s="59">
        <v>0</v>
      </c>
      <c r="V670" s="59">
        <v>0</v>
      </c>
      <c r="W670" s="59">
        <v>0</v>
      </c>
      <c r="X670" s="59">
        <v>0</v>
      </c>
      <c r="Y670" s="59">
        <v>0</v>
      </c>
      <c r="Z670" s="59">
        <v>0</v>
      </c>
      <c r="AA670" s="59"/>
      <c r="AB670" s="59"/>
      <c r="AC670" s="59"/>
      <c r="AD670" s="59"/>
      <c r="AE670" s="59"/>
      <c r="AF670" s="59"/>
      <c r="AG670" s="59"/>
      <c r="AH670" s="59"/>
      <c r="AI670" s="59"/>
      <c r="AJ670" s="59"/>
      <c r="AK670" s="59"/>
    </row>
    <row r="671" spans="2:37" x14ac:dyDescent="0.25">
      <c r="E671" t="s">
        <v>519</v>
      </c>
      <c r="H671" s="223" t="s">
        <v>1015</v>
      </c>
      <c r="J671" s="69"/>
      <c r="K671" s="69"/>
      <c r="L671" s="69"/>
      <c r="M671" s="69"/>
      <c r="N671" s="69"/>
      <c r="Q671" s="59">
        <v>0</v>
      </c>
      <c r="R671" s="59">
        <v>0</v>
      </c>
      <c r="S671" s="59">
        <v>0</v>
      </c>
      <c r="T671" s="59">
        <v>0</v>
      </c>
      <c r="U671" s="59">
        <v>0</v>
      </c>
      <c r="V671" s="59">
        <v>0</v>
      </c>
      <c r="W671" s="59">
        <v>0</v>
      </c>
      <c r="X671" s="59">
        <v>0</v>
      </c>
      <c r="Y671" s="59">
        <v>0</v>
      </c>
      <c r="Z671" s="59">
        <v>0</v>
      </c>
      <c r="AA671" s="59"/>
      <c r="AB671" s="59"/>
      <c r="AC671" s="59"/>
      <c r="AD671" s="59"/>
      <c r="AE671" s="59"/>
      <c r="AF671" s="59"/>
      <c r="AG671" s="59"/>
      <c r="AH671" s="59"/>
      <c r="AI671" s="59"/>
      <c r="AJ671" s="59"/>
      <c r="AK671" s="59"/>
    </row>
    <row r="672" spans="2:37" x14ac:dyDescent="0.25">
      <c r="E672" t="s">
        <v>521</v>
      </c>
      <c r="F672" t="s">
        <v>381</v>
      </c>
      <c r="H672" s="223" t="s">
        <v>1015</v>
      </c>
      <c r="J672" s="69"/>
      <c r="K672" s="69"/>
      <c r="L672" s="69"/>
      <c r="M672" s="69"/>
      <c r="N672" s="69"/>
      <c r="Q672" s="59">
        <v>0</v>
      </c>
      <c r="R672" s="59">
        <v>0</v>
      </c>
      <c r="S672" s="59">
        <v>0</v>
      </c>
      <c r="T672" s="59">
        <v>0</v>
      </c>
      <c r="U672" s="59">
        <v>0</v>
      </c>
      <c r="V672" s="59">
        <v>0</v>
      </c>
      <c r="W672" s="59">
        <v>0</v>
      </c>
      <c r="X672" s="59">
        <v>0</v>
      </c>
      <c r="Y672" s="59">
        <v>0</v>
      </c>
      <c r="Z672" s="59">
        <v>0</v>
      </c>
      <c r="AA672" s="59"/>
      <c r="AB672" s="59"/>
      <c r="AC672" s="59"/>
      <c r="AD672" s="59"/>
      <c r="AE672" s="59"/>
      <c r="AF672" s="59"/>
      <c r="AG672" s="59"/>
      <c r="AH672" s="59"/>
      <c r="AI672" s="59"/>
      <c r="AJ672" s="59"/>
      <c r="AK672" s="59"/>
    </row>
    <row r="673" spans="3:37" x14ac:dyDescent="0.25">
      <c r="E673" t="s">
        <v>522</v>
      </c>
      <c r="F673" s="13"/>
      <c r="H673" s="223" t="s">
        <v>1015</v>
      </c>
      <c r="J673" s="69"/>
      <c r="K673" s="69"/>
      <c r="L673" s="69"/>
      <c r="M673" s="69"/>
      <c r="N673" s="69"/>
      <c r="Q673" s="59">
        <v>0</v>
      </c>
      <c r="R673" s="59">
        <v>0</v>
      </c>
      <c r="S673" s="59">
        <v>0</v>
      </c>
      <c r="T673" s="59">
        <v>0</v>
      </c>
      <c r="U673" s="59">
        <v>0</v>
      </c>
      <c r="V673" s="59">
        <v>0</v>
      </c>
      <c r="W673" s="59">
        <v>0</v>
      </c>
      <c r="X673" s="59">
        <v>0</v>
      </c>
      <c r="Y673" s="59">
        <v>0</v>
      </c>
      <c r="Z673" s="59">
        <v>0</v>
      </c>
      <c r="AA673" s="59"/>
      <c r="AB673" s="59"/>
      <c r="AC673" s="59"/>
      <c r="AD673" s="59"/>
      <c r="AE673" s="59"/>
      <c r="AF673" s="59"/>
      <c r="AG673" s="59"/>
      <c r="AH673" s="59"/>
      <c r="AI673" s="59"/>
      <c r="AJ673" s="59"/>
      <c r="AK673" s="59"/>
    </row>
    <row r="674" spans="3:37" x14ac:dyDescent="0.25">
      <c r="E674" t="s">
        <v>1537</v>
      </c>
      <c r="H674" s="223" t="s">
        <v>1015</v>
      </c>
      <c r="J674" s="69"/>
      <c r="K674" s="69"/>
      <c r="L674" s="69"/>
      <c r="M674" s="69"/>
      <c r="N674" s="69"/>
      <c r="Q674" s="59">
        <v>144</v>
      </c>
      <c r="R674" s="59">
        <v>137</v>
      </c>
      <c r="S674" s="59">
        <v>98</v>
      </c>
      <c r="T674" s="59">
        <v>93</v>
      </c>
      <c r="U674" s="59">
        <v>81</v>
      </c>
      <c r="V674" s="59">
        <v>42</v>
      </c>
      <c r="W674" s="59">
        <v>40</v>
      </c>
      <c r="X674" s="59">
        <v>40</v>
      </c>
      <c r="Y674" s="59">
        <v>47</v>
      </c>
      <c r="Z674" s="223"/>
      <c r="AA674" s="59"/>
      <c r="AB674" s="59"/>
      <c r="AC674" s="59"/>
      <c r="AD674" s="59"/>
      <c r="AE674" s="59"/>
      <c r="AF674" s="59"/>
      <c r="AG674" s="59"/>
      <c r="AH674" s="59"/>
      <c r="AI674" s="59"/>
      <c r="AJ674" s="59"/>
      <c r="AK674" s="59"/>
    </row>
    <row r="675" spans="3:37" x14ac:dyDescent="0.25">
      <c r="E675" t="s">
        <v>523</v>
      </c>
      <c r="H675" s="223" t="s">
        <v>1015</v>
      </c>
      <c r="J675" s="69"/>
      <c r="K675" s="69"/>
      <c r="L675" s="69"/>
      <c r="M675" s="69"/>
      <c r="N675" s="69"/>
      <c r="Q675" s="59">
        <v>0</v>
      </c>
      <c r="R675" s="59">
        <v>0</v>
      </c>
      <c r="S675" s="59">
        <v>0</v>
      </c>
      <c r="T675" s="59">
        <v>0</v>
      </c>
      <c r="U675" s="59">
        <v>0</v>
      </c>
      <c r="V675" s="59">
        <v>0</v>
      </c>
      <c r="W675" s="59">
        <v>0</v>
      </c>
      <c r="X675" s="59">
        <v>0</v>
      </c>
      <c r="Y675" s="59">
        <v>0</v>
      </c>
      <c r="Z675" s="59">
        <v>0</v>
      </c>
      <c r="AA675" s="59"/>
      <c r="AB675" s="59"/>
      <c r="AC675" s="59"/>
      <c r="AD675" s="59"/>
      <c r="AE675" s="59"/>
      <c r="AF675" s="59"/>
      <c r="AG675" s="59"/>
      <c r="AH675" s="59"/>
      <c r="AI675" s="59"/>
      <c r="AJ675" s="59"/>
      <c r="AK675" s="59"/>
    </row>
    <row r="676" spans="3:37" x14ac:dyDescent="0.25">
      <c r="E676" t="s">
        <v>524</v>
      </c>
      <c r="H676" s="223" t="s">
        <v>1015</v>
      </c>
      <c r="J676" s="69"/>
      <c r="K676" s="69"/>
      <c r="L676" s="69"/>
      <c r="M676" s="69"/>
      <c r="N676" s="69"/>
      <c r="Q676" s="59">
        <v>17</v>
      </c>
      <c r="R676" s="59">
        <v>15</v>
      </c>
      <c r="S676" s="59">
        <v>15</v>
      </c>
      <c r="T676" s="59">
        <v>13</v>
      </c>
      <c r="U676" s="59">
        <v>12</v>
      </c>
      <c r="V676" s="59">
        <v>11</v>
      </c>
      <c r="W676" s="59">
        <v>0</v>
      </c>
      <c r="X676" s="59">
        <v>0</v>
      </c>
      <c r="Y676" s="59">
        <v>0</v>
      </c>
      <c r="Z676" s="59">
        <v>0</v>
      </c>
      <c r="AA676" s="59"/>
      <c r="AB676" s="59"/>
      <c r="AC676" s="59"/>
      <c r="AD676" s="59"/>
      <c r="AE676" s="59"/>
      <c r="AF676" s="59"/>
      <c r="AG676" s="59"/>
      <c r="AH676" s="59"/>
      <c r="AI676" s="59"/>
      <c r="AJ676" s="59"/>
      <c r="AK676" s="59"/>
    </row>
    <row r="677" spans="3:37" x14ac:dyDescent="0.25">
      <c r="C677" s="15" t="s">
        <v>380</v>
      </c>
      <c r="D677" s="13"/>
      <c r="E677" s="13"/>
      <c r="F677" s="13"/>
      <c r="J677" s="69"/>
      <c r="K677" s="69"/>
      <c r="L677" s="69"/>
      <c r="M677" s="69"/>
      <c r="N677" s="69"/>
      <c r="Q677" s="59"/>
      <c r="R677" s="59"/>
      <c r="S677" s="59"/>
      <c r="T677" s="59"/>
      <c r="U677" s="59"/>
      <c r="V677" s="59"/>
      <c r="W677" s="59"/>
      <c r="X677" s="59"/>
      <c r="Y677" s="59"/>
      <c r="Z677" s="59"/>
      <c r="AA677" s="59"/>
      <c r="AB677" s="59"/>
      <c r="AC677" s="59"/>
      <c r="AD677" s="59"/>
      <c r="AE677" s="59"/>
      <c r="AF677" s="59"/>
      <c r="AG677" s="59"/>
      <c r="AH677" s="59"/>
      <c r="AI677" s="59"/>
      <c r="AJ677" s="59"/>
      <c r="AK677" s="59"/>
    </row>
    <row r="678" spans="3:37" x14ac:dyDescent="0.25">
      <c r="D678" t="s">
        <v>518</v>
      </c>
      <c r="H678" s="223" t="s">
        <v>1015</v>
      </c>
      <c r="J678" s="69"/>
      <c r="K678" s="69"/>
      <c r="L678" s="69"/>
      <c r="M678" s="69"/>
      <c r="N678" s="69"/>
      <c r="Q678" s="59">
        <f t="shared" ref="Q678:AK678" si="149">SUM(Q679:Q685)</f>
        <v>4401</v>
      </c>
      <c r="R678" s="59">
        <f t="shared" si="149"/>
        <v>4853</v>
      </c>
      <c r="S678" s="59">
        <f t="shared" si="149"/>
        <v>5070</v>
      </c>
      <c r="T678" s="59">
        <f t="shared" si="149"/>
        <v>5009</v>
      </c>
      <c r="U678" s="59">
        <f t="shared" si="149"/>
        <v>4957</v>
      </c>
      <c r="V678" s="59">
        <f t="shared" si="149"/>
        <v>4801</v>
      </c>
      <c r="W678" s="59">
        <f t="shared" si="149"/>
        <v>4598</v>
      </c>
      <c r="X678" s="59">
        <f t="shared" si="149"/>
        <v>4567</v>
      </c>
      <c r="Y678" s="59">
        <f t="shared" si="149"/>
        <v>4380</v>
      </c>
      <c r="Z678" s="59">
        <f>SUM(Z679:Z685)</f>
        <v>4706</v>
      </c>
      <c r="AA678" s="59">
        <f t="shared" si="149"/>
        <v>0</v>
      </c>
      <c r="AB678" s="59">
        <f t="shared" si="149"/>
        <v>0</v>
      </c>
      <c r="AC678" s="59">
        <f t="shared" si="149"/>
        <v>0</v>
      </c>
      <c r="AD678" s="59">
        <f t="shared" si="149"/>
        <v>0</v>
      </c>
      <c r="AE678" s="59">
        <f t="shared" si="149"/>
        <v>0</v>
      </c>
      <c r="AF678" s="59">
        <f t="shared" si="149"/>
        <v>0</v>
      </c>
      <c r="AG678" s="59">
        <f t="shared" si="149"/>
        <v>0</v>
      </c>
      <c r="AH678" s="59">
        <f t="shared" si="149"/>
        <v>0</v>
      </c>
      <c r="AI678" s="59">
        <f t="shared" si="149"/>
        <v>0</v>
      </c>
      <c r="AJ678" s="59">
        <f t="shared" si="149"/>
        <v>0</v>
      </c>
      <c r="AK678" s="59">
        <f t="shared" si="149"/>
        <v>0</v>
      </c>
    </row>
    <row r="679" spans="3:37" x14ac:dyDescent="0.25">
      <c r="E679" t="s">
        <v>520</v>
      </c>
      <c r="H679" s="223" t="s">
        <v>1015</v>
      </c>
      <c r="J679" s="69"/>
      <c r="K679" s="69"/>
      <c r="L679" s="69"/>
      <c r="M679" s="69"/>
      <c r="N679" s="69"/>
      <c r="Q679" s="59">
        <v>587</v>
      </c>
      <c r="R679" s="59">
        <v>604</v>
      </c>
      <c r="S679" s="59">
        <v>690</v>
      </c>
      <c r="T679" s="59">
        <v>657</v>
      </c>
      <c r="U679" s="59">
        <v>631</v>
      </c>
      <c r="V679" s="59">
        <v>690</v>
      </c>
      <c r="W679" s="59">
        <v>724</v>
      </c>
      <c r="X679" s="59">
        <v>936</v>
      </c>
      <c r="Y679" s="59">
        <v>1035</v>
      </c>
      <c r="Z679" s="223">
        <v>1182</v>
      </c>
      <c r="AA679" s="59"/>
      <c r="AB679" s="59"/>
      <c r="AC679" s="59"/>
      <c r="AD679" s="59"/>
      <c r="AE679" s="59"/>
      <c r="AF679" s="59"/>
      <c r="AG679" s="59"/>
      <c r="AH679" s="59"/>
      <c r="AI679" s="59"/>
      <c r="AJ679" s="59"/>
      <c r="AK679" s="59"/>
    </row>
    <row r="680" spans="3:37" x14ac:dyDescent="0.25">
      <c r="E680" t="s">
        <v>519</v>
      </c>
      <c r="H680" s="223" t="s">
        <v>1015</v>
      </c>
      <c r="J680" s="69"/>
      <c r="K680" s="69"/>
      <c r="L680" s="69"/>
      <c r="M680" s="69"/>
      <c r="N680" s="69"/>
      <c r="Q680" s="59">
        <v>104</v>
      </c>
      <c r="R680" s="59">
        <v>101</v>
      </c>
      <c r="S680" s="59">
        <v>81</v>
      </c>
      <c r="T680" s="59">
        <v>49</v>
      </c>
      <c r="U680" s="59">
        <v>22</v>
      </c>
      <c r="V680" s="59">
        <v>51</v>
      </c>
      <c r="W680" s="59">
        <v>81</v>
      </c>
      <c r="X680" s="59">
        <v>108</v>
      </c>
      <c r="Y680" s="59">
        <v>152</v>
      </c>
      <c r="Z680" s="223">
        <v>158</v>
      </c>
      <c r="AA680" s="59"/>
      <c r="AB680" s="59"/>
      <c r="AC680" s="59"/>
      <c r="AD680" s="59"/>
      <c r="AE680" s="59"/>
      <c r="AF680" s="59"/>
      <c r="AG680" s="59"/>
      <c r="AH680" s="59"/>
      <c r="AI680" s="59"/>
      <c r="AJ680" s="59"/>
      <c r="AK680" s="59"/>
    </row>
    <row r="681" spans="3:37" x14ac:dyDescent="0.25">
      <c r="E681" t="s">
        <v>521</v>
      </c>
      <c r="F681" t="s">
        <v>381</v>
      </c>
      <c r="H681" s="223" t="s">
        <v>1015</v>
      </c>
      <c r="J681" s="69"/>
      <c r="K681" s="69"/>
      <c r="L681" s="69"/>
      <c r="M681" s="69"/>
      <c r="N681" s="69"/>
      <c r="Q681" s="59">
        <v>82</v>
      </c>
      <c r="R681" s="59">
        <v>110</v>
      </c>
      <c r="S681" s="59">
        <v>115</v>
      </c>
      <c r="T681" s="59">
        <v>130</v>
      </c>
      <c r="U681" s="59">
        <v>126</v>
      </c>
      <c r="V681" s="59">
        <v>103</v>
      </c>
      <c r="W681" s="59">
        <v>60</v>
      </c>
      <c r="X681" s="59">
        <v>40</v>
      </c>
      <c r="Y681" s="59">
        <v>109</v>
      </c>
      <c r="Z681" s="223">
        <v>113</v>
      </c>
      <c r="AA681" s="59"/>
      <c r="AB681" s="59"/>
      <c r="AC681" s="59"/>
      <c r="AD681" s="59"/>
      <c r="AE681" s="59"/>
      <c r="AF681" s="59"/>
      <c r="AG681" s="59"/>
      <c r="AH681" s="59"/>
      <c r="AI681" s="59"/>
      <c r="AJ681" s="59"/>
      <c r="AK681" s="59"/>
    </row>
    <row r="682" spans="3:37" x14ac:dyDescent="0.25">
      <c r="E682" t="s">
        <v>522</v>
      </c>
      <c r="F682" s="13"/>
      <c r="H682" s="223" t="s">
        <v>1015</v>
      </c>
      <c r="J682" s="69"/>
      <c r="K682" s="69"/>
      <c r="L682" s="69"/>
      <c r="M682" s="69"/>
      <c r="N682" s="69"/>
      <c r="Q682" s="59">
        <v>55</v>
      </c>
      <c r="R682" s="59">
        <v>59</v>
      </c>
      <c r="S682" s="59">
        <v>65</v>
      </c>
      <c r="T682" s="59">
        <v>122</v>
      </c>
      <c r="U682" s="59">
        <v>98</v>
      </c>
      <c r="V682" s="59">
        <v>99</v>
      </c>
      <c r="W682" s="59">
        <v>60</v>
      </c>
      <c r="X682" s="59">
        <v>53</v>
      </c>
      <c r="Y682" s="59">
        <v>0</v>
      </c>
      <c r="Z682" s="223">
        <v>33</v>
      </c>
      <c r="AA682" s="59"/>
      <c r="AB682" s="59"/>
      <c r="AC682" s="59"/>
      <c r="AD682" s="59"/>
      <c r="AE682" s="59"/>
      <c r="AF682" s="59"/>
      <c r="AG682" s="59"/>
      <c r="AH682" s="59"/>
      <c r="AI682" s="59"/>
      <c r="AJ682" s="59"/>
      <c r="AK682" s="59"/>
    </row>
    <row r="683" spans="3:37" x14ac:dyDescent="0.25">
      <c r="E683" t="s">
        <v>1537</v>
      </c>
      <c r="H683" s="223" t="s">
        <v>1015</v>
      </c>
      <c r="J683" s="69"/>
      <c r="K683" s="69"/>
      <c r="L683" s="69"/>
      <c r="M683" s="69"/>
      <c r="N683" s="69"/>
      <c r="Q683" s="59">
        <v>3299</v>
      </c>
      <c r="R683" s="59">
        <v>3558</v>
      </c>
      <c r="S683" s="59">
        <v>3746</v>
      </c>
      <c r="T683" s="59">
        <v>3652</v>
      </c>
      <c r="U683" s="59">
        <v>3633</v>
      </c>
      <c r="V683" s="59">
        <v>3442</v>
      </c>
      <c r="W683" s="59">
        <v>3356</v>
      </c>
      <c r="X683" s="59">
        <v>2959</v>
      </c>
      <c r="Y683" s="59">
        <v>2649</v>
      </c>
      <c r="Z683" s="223">
        <v>2716</v>
      </c>
      <c r="AA683" s="59"/>
      <c r="AB683" s="59"/>
      <c r="AC683" s="59"/>
      <c r="AD683" s="59"/>
      <c r="AE683" s="59"/>
      <c r="AF683" s="59"/>
      <c r="AG683" s="59"/>
      <c r="AH683" s="59"/>
      <c r="AI683" s="59"/>
      <c r="AJ683" s="59"/>
      <c r="AK683" s="59"/>
    </row>
    <row r="684" spans="3:37" x14ac:dyDescent="0.25">
      <c r="E684" t="s">
        <v>523</v>
      </c>
      <c r="H684" s="223" t="s">
        <v>1015</v>
      </c>
      <c r="J684" s="69"/>
      <c r="K684" s="69"/>
      <c r="L684" s="69"/>
      <c r="M684" s="69"/>
      <c r="N684" s="69"/>
      <c r="Q684" s="59">
        <v>43</v>
      </c>
      <c r="R684" s="59">
        <v>41</v>
      </c>
      <c r="S684" s="59">
        <v>45</v>
      </c>
      <c r="T684" s="59">
        <v>11</v>
      </c>
      <c r="U684" s="59">
        <v>10</v>
      </c>
      <c r="V684" s="59">
        <v>11</v>
      </c>
      <c r="W684" s="59">
        <v>10</v>
      </c>
      <c r="X684" s="59">
        <v>0</v>
      </c>
      <c r="Y684" s="59">
        <v>0</v>
      </c>
      <c r="Z684" s="223">
        <v>0</v>
      </c>
      <c r="AA684" s="59"/>
      <c r="AB684" s="59"/>
      <c r="AC684" s="59"/>
      <c r="AD684" s="59"/>
      <c r="AE684" s="59"/>
      <c r="AF684" s="59"/>
      <c r="AG684" s="59"/>
      <c r="AH684" s="59"/>
      <c r="AI684" s="59"/>
      <c r="AJ684" s="59"/>
      <c r="AK684" s="59"/>
    </row>
    <row r="685" spans="3:37" x14ac:dyDescent="0.25">
      <c r="E685" t="s">
        <v>524</v>
      </c>
      <c r="H685" s="223" t="s">
        <v>1015</v>
      </c>
      <c r="J685" s="69"/>
      <c r="K685" s="69"/>
      <c r="L685" s="69"/>
      <c r="M685" s="69"/>
      <c r="N685" s="69"/>
      <c r="Q685" s="59">
        <v>231</v>
      </c>
      <c r="R685" s="59">
        <v>380</v>
      </c>
      <c r="S685" s="59">
        <v>328</v>
      </c>
      <c r="T685" s="59">
        <v>388</v>
      </c>
      <c r="U685" s="59">
        <v>437</v>
      </c>
      <c r="V685" s="59">
        <v>405</v>
      </c>
      <c r="W685" s="59">
        <v>307</v>
      </c>
      <c r="X685" s="59">
        <v>471</v>
      </c>
      <c r="Y685" s="59">
        <v>435</v>
      </c>
      <c r="Z685" s="223">
        <v>504</v>
      </c>
      <c r="AA685" s="59"/>
      <c r="AB685" s="59"/>
      <c r="AC685" s="59"/>
      <c r="AD685" s="59"/>
      <c r="AE685" s="59"/>
      <c r="AF685" s="59"/>
      <c r="AG685" s="59"/>
      <c r="AH685" s="59"/>
      <c r="AI685" s="59"/>
      <c r="AJ685" s="59"/>
      <c r="AK685" s="59"/>
    </row>
    <row r="686" spans="3:37" x14ac:dyDescent="0.25">
      <c r="C686" s="15" t="s">
        <v>381</v>
      </c>
      <c r="D686" s="13"/>
      <c r="E686" s="13"/>
      <c r="F686" s="13"/>
      <c r="J686" s="69"/>
      <c r="K686" s="69"/>
      <c r="L686" s="69"/>
      <c r="M686" s="69"/>
      <c r="N686" s="69"/>
      <c r="Q686" s="59"/>
      <c r="R686" s="59"/>
      <c r="S686" s="59"/>
      <c r="T686" s="59"/>
      <c r="U686" s="59"/>
      <c r="V686" s="59"/>
      <c r="W686" s="59"/>
      <c r="X686" s="59"/>
      <c r="Y686" s="59"/>
      <c r="Z686" s="59"/>
      <c r="AA686" s="59"/>
      <c r="AB686" s="59"/>
      <c r="AC686" s="59"/>
      <c r="AD686" s="59"/>
      <c r="AE686" s="59"/>
      <c r="AF686" s="59"/>
      <c r="AG686" s="59"/>
      <c r="AH686" s="59"/>
      <c r="AI686" s="59"/>
      <c r="AJ686" s="59"/>
      <c r="AK686" s="59"/>
    </row>
    <row r="687" spans="3:37" x14ac:dyDescent="0.25">
      <c r="D687" t="s">
        <v>518</v>
      </c>
      <c r="H687" s="223" t="s">
        <v>1015</v>
      </c>
      <c r="J687" s="69"/>
      <c r="K687" s="69"/>
      <c r="L687" s="69"/>
      <c r="M687" s="69"/>
      <c r="N687" s="69"/>
      <c r="Q687" s="59">
        <f t="shared" ref="Q687:AK687" si="150">SUM(Q688:Q694)</f>
        <v>968</v>
      </c>
      <c r="R687" s="59">
        <f t="shared" si="150"/>
        <v>1268</v>
      </c>
      <c r="S687" s="59">
        <f t="shared" si="150"/>
        <v>1343</v>
      </c>
      <c r="T687" s="59">
        <f t="shared" si="150"/>
        <v>1214</v>
      </c>
      <c r="U687" s="59">
        <f t="shared" si="150"/>
        <v>1128</v>
      </c>
      <c r="V687" s="59">
        <f t="shared" si="150"/>
        <v>1024</v>
      </c>
      <c r="W687" s="59">
        <f t="shared" si="150"/>
        <v>808</v>
      </c>
      <c r="X687" s="59">
        <f t="shared" si="150"/>
        <v>885</v>
      </c>
      <c r="Y687" s="59">
        <f t="shared" si="150"/>
        <v>868</v>
      </c>
      <c r="Z687" s="59">
        <f t="shared" si="150"/>
        <v>1054</v>
      </c>
      <c r="AA687" s="59">
        <f t="shared" si="150"/>
        <v>0</v>
      </c>
      <c r="AB687" s="59">
        <f t="shared" si="150"/>
        <v>0</v>
      </c>
      <c r="AC687" s="59">
        <f t="shared" si="150"/>
        <v>0</v>
      </c>
      <c r="AD687" s="59">
        <f t="shared" si="150"/>
        <v>0</v>
      </c>
      <c r="AE687" s="59">
        <f t="shared" si="150"/>
        <v>0</v>
      </c>
      <c r="AF687" s="59">
        <f t="shared" si="150"/>
        <v>0</v>
      </c>
      <c r="AG687" s="59">
        <f t="shared" si="150"/>
        <v>0</v>
      </c>
      <c r="AH687" s="59">
        <f t="shared" si="150"/>
        <v>0</v>
      </c>
      <c r="AI687" s="59">
        <f t="shared" si="150"/>
        <v>0</v>
      </c>
      <c r="AJ687" s="59">
        <f t="shared" si="150"/>
        <v>0</v>
      </c>
      <c r="AK687" s="59">
        <f t="shared" si="150"/>
        <v>0</v>
      </c>
    </row>
    <row r="688" spans="3:37" x14ac:dyDescent="0.25">
      <c r="E688" t="s">
        <v>520</v>
      </c>
      <c r="H688" s="223" t="s">
        <v>1015</v>
      </c>
      <c r="J688" s="69"/>
      <c r="K688" s="69"/>
      <c r="L688" s="69"/>
      <c r="M688" s="69"/>
      <c r="N688" s="69"/>
      <c r="Q688" s="59">
        <v>262</v>
      </c>
      <c r="R688" s="59">
        <v>284</v>
      </c>
      <c r="S688" s="59">
        <v>339</v>
      </c>
      <c r="T688" s="59">
        <v>318</v>
      </c>
      <c r="U688" s="59">
        <v>235</v>
      </c>
      <c r="V688" s="59">
        <v>180</v>
      </c>
      <c r="W688" s="59">
        <v>202</v>
      </c>
      <c r="X688" s="59">
        <v>257</v>
      </c>
      <c r="Y688" s="59">
        <v>289</v>
      </c>
      <c r="Z688" s="223">
        <v>370</v>
      </c>
      <c r="AA688" s="59"/>
      <c r="AB688" s="59"/>
      <c r="AC688" s="59"/>
      <c r="AD688" s="59"/>
      <c r="AE688" s="59"/>
      <c r="AF688" s="59"/>
      <c r="AG688" s="59"/>
      <c r="AH688" s="59"/>
      <c r="AI688" s="59"/>
      <c r="AJ688" s="59"/>
      <c r="AK688" s="59"/>
    </row>
    <row r="689" spans="1:37" x14ac:dyDescent="0.25">
      <c r="E689" t="s">
        <v>519</v>
      </c>
      <c r="H689" s="223" t="s">
        <v>1015</v>
      </c>
      <c r="J689" s="69"/>
      <c r="K689" s="69"/>
      <c r="L689" s="69"/>
      <c r="M689" s="69"/>
      <c r="N689" s="69"/>
      <c r="Q689" s="59">
        <v>73</v>
      </c>
      <c r="R689" s="59">
        <v>70</v>
      </c>
      <c r="S689" s="59">
        <v>40</v>
      </c>
      <c r="T689" s="59">
        <v>13</v>
      </c>
      <c r="U689" s="59">
        <v>11</v>
      </c>
      <c r="V689" s="59">
        <v>38</v>
      </c>
      <c r="W689" s="59">
        <v>69</v>
      </c>
      <c r="X689" s="59">
        <v>108</v>
      </c>
      <c r="Y689" s="59">
        <v>106</v>
      </c>
      <c r="Z689" s="223">
        <v>109</v>
      </c>
      <c r="AA689" s="59"/>
      <c r="AB689" s="59"/>
      <c r="AC689" s="59"/>
      <c r="AD689" s="59"/>
      <c r="AE689" s="59"/>
      <c r="AF689" s="59"/>
      <c r="AG689" s="59"/>
      <c r="AH689" s="59"/>
      <c r="AI689" s="59"/>
      <c r="AJ689" s="59"/>
      <c r="AK689" s="59"/>
    </row>
    <row r="690" spans="1:37" x14ac:dyDescent="0.25">
      <c r="E690" t="s">
        <v>521</v>
      </c>
      <c r="F690" t="s">
        <v>381</v>
      </c>
      <c r="H690" s="223" t="s">
        <v>1015</v>
      </c>
      <c r="J690" s="69"/>
      <c r="K690" s="69"/>
      <c r="L690" s="69"/>
      <c r="M690" s="69"/>
      <c r="N690" s="69"/>
      <c r="Q690" s="59">
        <v>31</v>
      </c>
      <c r="R690" s="59">
        <v>59</v>
      </c>
      <c r="S690" s="59">
        <v>56</v>
      </c>
      <c r="T690" s="59">
        <v>49</v>
      </c>
      <c r="U690" s="59">
        <v>46</v>
      </c>
      <c r="V690" s="59">
        <v>20</v>
      </c>
      <c r="W690" s="59">
        <v>8</v>
      </c>
      <c r="X690" s="59">
        <v>10</v>
      </c>
      <c r="Y690" s="59">
        <v>61</v>
      </c>
      <c r="Z690" s="223">
        <v>64</v>
      </c>
      <c r="AA690" s="59"/>
      <c r="AB690" s="59"/>
      <c r="AC690" s="59"/>
      <c r="AD690" s="59"/>
      <c r="AE690" s="59"/>
      <c r="AF690" s="59"/>
      <c r="AG690" s="59"/>
      <c r="AH690" s="59"/>
      <c r="AI690" s="59"/>
      <c r="AJ690" s="59"/>
      <c r="AK690" s="59"/>
    </row>
    <row r="691" spans="1:37" x14ac:dyDescent="0.25">
      <c r="E691" t="s">
        <v>522</v>
      </c>
      <c r="F691" s="13"/>
      <c r="H691" s="223" t="s">
        <v>1015</v>
      </c>
      <c r="J691" s="69"/>
      <c r="K691" s="69"/>
      <c r="L691" s="69"/>
      <c r="M691" s="69"/>
      <c r="N691" s="69"/>
      <c r="Q691" s="59">
        <v>0</v>
      </c>
      <c r="R691" s="59">
        <v>0</v>
      </c>
      <c r="S691" s="59">
        <v>11</v>
      </c>
      <c r="T691" s="59">
        <v>39</v>
      </c>
      <c r="U691" s="59">
        <v>36</v>
      </c>
      <c r="V691" s="59">
        <v>35</v>
      </c>
      <c r="W691" s="59">
        <v>32</v>
      </c>
      <c r="X691" s="59">
        <v>22</v>
      </c>
      <c r="Y691" s="59">
        <v>0</v>
      </c>
      <c r="Z691" s="223">
        <v>0</v>
      </c>
      <c r="AA691" s="59"/>
      <c r="AB691" s="59"/>
      <c r="AC691" s="59"/>
      <c r="AD691" s="59"/>
      <c r="AE691" s="59"/>
      <c r="AF691" s="59"/>
      <c r="AG691" s="59"/>
      <c r="AH691" s="59"/>
      <c r="AI691" s="59"/>
      <c r="AJ691" s="59"/>
      <c r="AK691" s="59"/>
    </row>
    <row r="692" spans="1:37" x14ac:dyDescent="0.25">
      <c r="E692" t="s">
        <v>1537</v>
      </c>
      <c r="H692" s="223" t="s">
        <v>1015</v>
      </c>
      <c r="J692" s="69"/>
      <c r="K692" s="69"/>
      <c r="L692" s="69"/>
      <c r="M692" s="69"/>
      <c r="N692" s="69"/>
      <c r="Q692" s="59">
        <v>488</v>
      </c>
      <c r="R692" s="59">
        <v>622</v>
      </c>
      <c r="S692" s="59">
        <v>657</v>
      </c>
      <c r="T692" s="59">
        <v>556</v>
      </c>
      <c r="U692" s="59">
        <v>511</v>
      </c>
      <c r="V692" s="59">
        <v>505</v>
      </c>
      <c r="W692" s="59">
        <v>328</v>
      </c>
      <c r="X692" s="59">
        <v>286</v>
      </c>
      <c r="Y692" s="59">
        <v>237</v>
      </c>
      <c r="Z692" s="223">
        <v>296</v>
      </c>
      <c r="AA692" s="59"/>
      <c r="AB692" s="59"/>
      <c r="AC692" s="59"/>
      <c r="AD692" s="59"/>
      <c r="AE692" s="59"/>
      <c r="AF692" s="59"/>
      <c r="AG692" s="59"/>
      <c r="AH692" s="59"/>
      <c r="AI692" s="59"/>
      <c r="AJ692" s="59"/>
      <c r="AK692" s="59"/>
    </row>
    <row r="693" spans="1:37" x14ac:dyDescent="0.25">
      <c r="E693" t="s">
        <v>523</v>
      </c>
      <c r="H693" s="223" t="s">
        <v>1015</v>
      </c>
      <c r="J693" s="69"/>
      <c r="K693" s="69"/>
      <c r="L693" s="69"/>
      <c r="M693" s="69"/>
      <c r="N693" s="69"/>
      <c r="Q693" s="59">
        <v>43</v>
      </c>
      <c r="R693" s="59">
        <v>41</v>
      </c>
      <c r="S693" s="59">
        <v>45</v>
      </c>
      <c r="T693" s="59">
        <v>11</v>
      </c>
      <c r="U693" s="59">
        <v>10</v>
      </c>
      <c r="V693" s="59">
        <v>11</v>
      </c>
      <c r="W693" s="59">
        <v>10</v>
      </c>
      <c r="X693" s="59">
        <v>0</v>
      </c>
      <c r="Y693" s="59">
        <v>0</v>
      </c>
      <c r="Z693" s="223">
        <v>0</v>
      </c>
      <c r="AA693" s="59"/>
      <c r="AB693" s="59"/>
      <c r="AC693" s="59"/>
      <c r="AD693" s="59"/>
      <c r="AE693" s="59"/>
      <c r="AF693" s="59"/>
      <c r="AG693" s="59"/>
      <c r="AH693" s="59"/>
      <c r="AI693" s="59"/>
      <c r="AJ693" s="59"/>
      <c r="AK693" s="59"/>
    </row>
    <row r="694" spans="1:37" x14ac:dyDescent="0.25">
      <c r="E694" t="s">
        <v>524</v>
      </c>
      <c r="H694" s="223" t="s">
        <v>1015</v>
      </c>
      <c r="J694" s="69"/>
      <c r="K694" s="69"/>
      <c r="L694" s="69"/>
      <c r="M694" s="69"/>
      <c r="N694" s="69"/>
      <c r="Q694" s="59">
        <v>71</v>
      </c>
      <c r="R694" s="59">
        <v>192</v>
      </c>
      <c r="S694" s="59">
        <v>195</v>
      </c>
      <c r="T694" s="59">
        <v>228</v>
      </c>
      <c r="U694" s="59">
        <v>279</v>
      </c>
      <c r="V694" s="59">
        <v>235</v>
      </c>
      <c r="W694" s="59">
        <v>159</v>
      </c>
      <c r="X694" s="59">
        <v>202</v>
      </c>
      <c r="Y694" s="59">
        <v>175</v>
      </c>
      <c r="Z694" s="223">
        <v>215</v>
      </c>
      <c r="AA694" s="59"/>
      <c r="AB694" s="59"/>
      <c r="AC694" s="59"/>
      <c r="AD694" s="59"/>
      <c r="AE694" s="59"/>
      <c r="AF694" s="59"/>
      <c r="AG694" s="59"/>
      <c r="AH694" s="59"/>
      <c r="AI694" s="59"/>
      <c r="AJ694" s="59"/>
      <c r="AK694" s="59"/>
    </row>
    <row r="695" spans="1:37" s="3" customFormat="1" x14ac:dyDescent="0.25">
      <c r="B695" s="4"/>
      <c r="J695" s="73"/>
      <c r="K695" s="73"/>
      <c r="L695" s="73"/>
      <c r="M695" s="73"/>
      <c r="N695" s="73"/>
    </row>
    <row r="696" spans="1:37" s="37" customFormat="1" ht="17.25" x14ac:dyDescent="0.3">
      <c r="A696" s="37" t="s">
        <v>329</v>
      </c>
    </row>
    <row r="697" spans="1:37" x14ac:dyDescent="0.25">
      <c r="B697" s="64" t="s">
        <v>31</v>
      </c>
      <c r="C697" t="s">
        <v>607</v>
      </c>
    </row>
    <row r="698" spans="1:37" s="223" customFormat="1" x14ac:dyDescent="0.25">
      <c r="B698" s="64" t="s">
        <v>32</v>
      </c>
      <c r="C698" s="195" t="s">
        <v>1455</v>
      </c>
    </row>
    <row r="699" spans="1:37" x14ac:dyDescent="0.25">
      <c r="C699" s="195" t="s">
        <v>412</v>
      </c>
    </row>
    <row r="700" spans="1:37" x14ac:dyDescent="0.25">
      <c r="B700" s="64" t="s">
        <v>331</v>
      </c>
      <c r="C700" s="5" t="s">
        <v>1482</v>
      </c>
    </row>
    <row r="701" spans="1:37" s="223" customFormat="1" x14ac:dyDescent="0.25">
      <c r="B701" s="64"/>
      <c r="C701" s="5"/>
      <c r="D701" s="223" t="s">
        <v>1483</v>
      </c>
    </row>
    <row r="702" spans="1:37" x14ac:dyDescent="0.25">
      <c r="B702" s="64" t="s">
        <v>332</v>
      </c>
      <c r="C702" t="s">
        <v>345</v>
      </c>
    </row>
    <row r="703" spans="1:37" s="34" customFormat="1" ht="15.75" thickBot="1" x14ac:dyDescent="0.3">
      <c r="B703" s="65" t="s">
        <v>334</v>
      </c>
      <c r="C703" s="34" t="s">
        <v>1484</v>
      </c>
    </row>
    <row r="704" spans="1:37" ht="15.75" thickTop="1" x14ac:dyDescent="0.25">
      <c r="C704" s="15" t="s">
        <v>378</v>
      </c>
      <c r="D704" s="13"/>
      <c r="E704" s="13"/>
      <c r="F704" s="13"/>
      <c r="J704" s="69"/>
      <c r="K704" s="69"/>
      <c r="L704" s="69"/>
      <c r="M704" s="69"/>
      <c r="N704" s="69"/>
      <c r="Q704" s="59"/>
      <c r="R704" s="59"/>
      <c r="S704" s="59"/>
      <c r="T704" s="59"/>
      <c r="U704" s="59"/>
      <c r="V704" s="59"/>
      <c r="W704" s="59"/>
      <c r="X704" s="59"/>
      <c r="Y704" s="59"/>
      <c r="Z704" s="59"/>
      <c r="AA704" s="59"/>
      <c r="AB704" s="59"/>
      <c r="AC704" s="59"/>
      <c r="AD704" s="59"/>
      <c r="AE704" s="59"/>
      <c r="AF704" s="59"/>
      <c r="AG704" s="59"/>
      <c r="AH704" s="59"/>
      <c r="AI704" s="59"/>
      <c r="AJ704" s="59"/>
      <c r="AK704" s="59"/>
    </row>
    <row r="705" spans="1:37" x14ac:dyDescent="0.25">
      <c r="D705" t="s">
        <v>608</v>
      </c>
      <c r="H705" t="s">
        <v>1507</v>
      </c>
      <c r="J705" s="69"/>
      <c r="K705" s="69"/>
      <c r="L705" s="69"/>
      <c r="M705" s="69"/>
      <c r="N705" s="69"/>
      <c r="Q705" s="59">
        <v>12322</v>
      </c>
      <c r="R705" s="59">
        <v>12982</v>
      </c>
      <c r="S705" s="59">
        <v>12701</v>
      </c>
      <c r="T705" s="59">
        <v>13246</v>
      </c>
      <c r="U705" s="59">
        <v>13381</v>
      </c>
      <c r="V705" s="59">
        <v>13843</v>
      </c>
      <c r="W705" s="59">
        <v>14008</v>
      </c>
      <c r="X705" s="59">
        <v>14152</v>
      </c>
      <c r="Y705" s="59">
        <v>14035</v>
      </c>
      <c r="Z705" s="59">
        <v>14096</v>
      </c>
      <c r="AA705" s="59"/>
      <c r="AB705" s="59"/>
      <c r="AC705" s="59"/>
      <c r="AD705" s="59"/>
      <c r="AE705" s="59"/>
      <c r="AF705" s="59"/>
      <c r="AG705" s="59"/>
      <c r="AH705" s="59"/>
      <c r="AI705" s="59"/>
      <c r="AJ705" s="59"/>
      <c r="AK705" s="59"/>
    </row>
    <row r="706" spans="1:37" x14ac:dyDescent="0.25">
      <c r="E706" t="s">
        <v>609</v>
      </c>
      <c r="H706" t="s">
        <v>1507</v>
      </c>
      <c r="J706" s="69"/>
      <c r="K706" s="69"/>
      <c r="L706" s="69"/>
      <c r="M706" s="69"/>
      <c r="N706" s="69"/>
      <c r="Q706" s="59">
        <v>551</v>
      </c>
      <c r="R706" s="59">
        <v>717</v>
      </c>
      <c r="S706" s="59">
        <v>367</v>
      </c>
      <c r="T706" s="59">
        <v>261</v>
      </c>
      <c r="U706" s="59">
        <v>330</v>
      </c>
      <c r="V706" s="59">
        <v>413</v>
      </c>
      <c r="W706" s="59">
        <v>390</v>
      </c>
      <c r="X706" s="59">
        <v>329</v>
      </c>
      <c r="Y706" s="59">
        <v>428</v>
      </c>
      <c r="Z706" s="59">
        <v>466</v>
      </c>
      <c r="AA706" s="59"/>
      <c r="AB706" s="59"/>
      <c r="AC706" s="59"/>
      <c r="AD706" s="59"/>
      <c r="AE706" s="59"/>
      <c r="AF706" s="59"/>
      <c r="AG706" s="59"/>
      <c r="AH706" s="59"/>
      <c r="AI706" s="59"/>
      <c r="AJ706" s="59"/>
      <c r="AK706" s="59"/>
    </row>
    <row r="707" spans="1:37" x14ac:dyDescent="0.25">
      <c r="E707" t="s">
        <v>610</v>
      </c>
      <c r="H707" t="s">
        <v>1507</v>
      </c>
      <c r="J707" s="69"/>
      <c r="K707" s="69"/>
      <c r="L707" s="69"/>
      <c r="M707" s="69"/>
      <c r="N707" s="69"/>
      <c r="Q707" s="59">
        <v>1265</v>
      </c>
      <c r="R707" s="59">
        <v>1513</v>
      </c>
      <c r="S707" s="59">
        <v>1159</v>
      </c>
      <c r="T707" s="59">
        <v>1273</v>
      </c>
      <c r="U707" s="59">
        <v>1480</v>
      </c>
      <c r="V707" s="59">
        <v>1431</v>
      </c>
      <c r="W707" s="59">
        <v>1640</v>
      </c>
      <c r="X707" s="59">
        <v>1655</v>
      </c>
      <c r="Y707" s="59">
        <v>1806</v>
      </c>
      <c r="Z707" s="59">
        <v>1504</v>
      </c>
      <c r="AA707" s="59"/>
      <c r="AB707" s="59"/>
      <c r="AC707" s="59"/>
      <c r="AD707" s="59"/>
      <c r="AE707" s="59"/>
      <c r="AF707" s="59"/>
      <c r="AG707" s="59"/>
      <c r="AH707" s="59"/>
      <c r="AI707" s="59"/>
      <c r="AJ707" s="59"/>
      <c r="AK707" s="59"/>
    </row>
    <row r="708" spans="1:37" x14ac:dyDescent="0.25">
      <c r="E708" t="s">
        <v>611</v>
      </c>
      <c r="H708" t="s">
        <v>1507</v>
      </c>
      <c r="J708" s="69"/>
      <c r="K708" s="69"/>
      <c r="L708" s="69"/>
      <c r="M708" s="69"/>
      <c r="N708" s="69"/>
      <c r="Q708" s="59">
        <v>1276</v>
      </c>
      <c r="R708" s="59">
        <v>1202</v>
      </c>
      <c r="S708" s="59">
        <v>1344</v>
      </c>
      <c r="T708" s="59">
        <v>965</v>
      </c>
      <c r="U708" s="59">
        <v>833</v>
      </c>
      <c r="V708" s="59">
        <v>761</v>
      </c>
      <c r="W708" s="59">
        <v>789</v>
      </c>
      <c r="X708" s="59">
        <v>811</v>
      </c>
      <c r="Y708" s="59">
        <v>956</v>
      </c>
      <c r="Z708" s="59">
        <v>1017</v>
      </c>
      <c r="AA708" s="59"/>
      <c r="AB708" s="59"/>
      <c r="AC708" s="59"/>
      <c r="AD708" s="59"/>
      <c r="AE708" s="59"/>
      <c r="AF708" s="59"/>
      <c r="AG708" s="59"/>
      <c r="AH708" s="59"/>
      <c r="AI708" s="59"/>
      <c r="AJ708" s="59"/>
      <c r="AK708" s="59"/>
    </row>
    <row r="709" spans="1:37" s="3" customFormat="1" x14ac:dyDescent="0.25">
      <c r="B709" s="4"/>
      <c r="J709" s="73"/>
      <c r="K709" s="73"/>
      <c r="L709" s="73"/>
      <c r="M709" s="73"/>
      <c r="N709" s="73"/>
    </row>
    <row r="710" spans="1:37" s="37" customFormat="1" ht="17.25" x14ac:dyDescent="0.3">
      <c r="A710" s="37" t="s">
        <v>377</v>
      </c>
    </row>
    <row r="711" spans="1:37" x14ac:dyDescent="0.25">
      <c r="B711" s="64" t="s">
        <v>31</v>
      </c>
      <c r="C711" t="s">
        <v>373</v>
      </c>
    </row>
    <row r="712" spans="1:37" x14ac:dyDescent="0.25">
      <c r="B712" s="64" t="s">
        <v>32</v>
      </c>
      <c r="C712" s="195" t="s">
        <v>408</v>
      </c>
    </row>
    <row r="713" spans="1:37" s="223" customFormat="1" x14ac:dyDescent="0.25">
      <c r="B713" s="64"/>
      <c r="C713" s="195" t="s">
        <v>1403</v>
      </c>
    </row>
    <row r="714" spans="1:37" x14ac:dyDescent="0.25">
      <c r="B714" s="64" t="s">
        <v>331</v>
      </c>
      <c r="C714" s="5" t="s">
        <v>1485</v>
      </c>
    </row>
    <row r="715" spans="1:37" x14ac:dyDescent="0.25">
      <c r="B715" s="64" t="s">
        <v>332</v>
      </c>
      <c r="C715" t="s">
        <v>374</v>
      </c>
    </row>
    <row r="716" spans="1:37" s="34" customFormat="1" ht="15.75" thickBot="1" x14ac:dyDescent="0.3">
      <c r="B716" s="65" t="s">
        <v>334</v>
      </c>
      <c r="C716" s="34" t="s">
        <v>1263</v>
      </c>
    </row>
    <row r="717" spans="1:37" s="13" customFormat="1" ht="15.75" thickTop="1" x14ac:dyDescent="0.25">
      <c r="B717" s="14"/>
      <c r="C717" s="15" t="s">
        <v>375</v>
      </c>
      <c r="I717" s="62"/>
      <c r="J717" s="107"/>
      <c r="K717" s="107"/>
      <c r="L717" s="107"/>
      <c r="M717" s="107"/>
      <c r="N717" s="107"/>
      <c r="O717" s="62"/>
      <c r="P717" s="62"/>
      <c r="Q717" s="62"/>
      <c r="R717" s="62"/>
      <c r="S717" s="62"/>
      <c r="T717" s="62"/>
      <c r="U717" s="62"/>
      <c r="V717" s="62"/>
      <c r="W717" s="62"/>
      <c r="X717" s="62"/>
      <c r="Y717" s="62"/>
      <c r="Z717" s="62"/>
      <c r="AA717" s="62"/>
      <c r="AB717" s="62"/>
      <c r="AC717" s="62"/>
      <c r="AD717" s="62"/>
      <c r="AE717" s="62"/>
      <c r="AF717" s="62"/>
      <c r="AG717" s="62"/>
      <c r="AH717" s="62"/>
      <c r="AI717" s="62"/>
      <c r="AJ717" s="62"/>
      <c r="AK717" s="62"/>
    </row>
    <row r="718" spans="1:37" x14ac:dyDescent="0.25">
      <c r="D718" t="s">
        <v>378</v>
      </c>
      <c r="H718" s="223" t="s">
        <v>1512</v>
      </c>
      <c r="I718" s="59"/>
      <c r="J718" s="108"/>
      <c r="K718" s="108"/>
      <c r="L718" s="108"/>
      <c r="M718" s="108"/>
      <c r="N718" s="108"/>
      <c r="O718" s="59"/>
      <c r="P718" s="59"/>
      <c r="Q718" s="59">
        <v>7470</v>
      </c>
      <c r="R718" s="59">
        <v>7246</v>
      </c>
      <c r="S718" s="59">
        <v>7327</v>
      </c>
      <c r="T718" s="59">
        <v>7583</v>
      </c>
      <c r="U718" s="59">
        <v>7873</v>
      </c>
      <c r="V718" s="59">
        <v>8187</v>
      </c>
      <c r="W718" s="59">
        <v>8576</v>
      </c>
      <c r="X718" s="59">
        <v>8795</v>
      </c>
      <c r="Y718" s="59">
        <v>9158</v>
      </c>
      <c r="Z718" s="59">
        <v>9019</v>
      </c>
      <c r="AA718" s="59"/>
      <c r="AB718" s="59"/>
      <c r="AC718" s="59"/>
      <c r="AD718" s="59"/>
      <c r="AE718" s="59"/>
      <c r="AF718" s="59"/>
      <c r="AG718" s="59"/>
      <c r="AH718" s="59"/>
      <c r="AI718" s="59"/>
      <c r="AJ718" s="59"/>
      <c r="AK718" s="59"/>
    </row>
    <row r="719" spans="1:37" x14ac:dyDescent="0.25">
      <c r="E719" t="s">
        <v>379</v>
      </c>
      <c r="H719" s="223" t="s">
        <v>1512</v>
      </c>
      <c r="I719" s="59"/>
      <c r="J719" s="108"/>
      <c r="K719" s="108"/>
      <c r="L719" s="108"/>
      <c r="M719" s="108"/>
      <c r="N719" s="108"/>
      <c r="O719" s="59"/>
      <c r="P719" s="59"/>
      <c r="Q719" s="59">
        <v>68</v>
      </c>
      <c r="R719" s="59">
        <v>53</v>
      </c>
      <c r="S719" s="59">
        <v>156</v>
      </c>
      <c r="T719" s="59">
        <v>214</v>
      </c>
      <c r="U719" s="59">
        <v>233</v>
      </c>
      <c r="V719" s="59">
        <v>302</v>
      </c>
      <c r="W719" s="59">
        <v>300</v>
      </c>
      <c r="X719" s="59">
        <v>260</v>
      </c>
      <c r="Y719" s="59">
        <v>202</v>
      </c>
      <c r="Z719" s="59">
        <v>208</v>
      </c>
      <c r="AA719" s="59"/>
      <c r="AB719" s="59"/>
      <c r="AC719" s="59"/>
      <c r="AD719" s="59"/>
      <c r="AE719" s="59"/>
      <c r="AF719" s="59"/>
      <c r="AG719" s="59"/>
      <c r="AH719" s="59"/>
      <c r="AI719" s="59"/>
      <c r="AJ719" s="59"/>
      <c r="AK719" s="59"/>
    </row>
    <row r="720" spans="1:37" x14ac:dyDescent="0.25">
      <c r="E720" t="s">
        <v>380</v>
      </c>
      <c r="H720" s="223" t="s">
        <v>1512</v>
      </c>
      <c r="I720" s="59"/>
      <c r="J720" s="108"/>
      <c r="K720" s="108"/>
      <c r="L720" s="108"/>
      <c r="M720" s="108"/>
      <c r="N720" s="108"/>
      <c r="O720" s="59"/>
      <c r="P720" s="59"/>
      <c r="Q720" s="59">
        <v>7281</v>
      </c>
      <c r="R720" s="59">
        <v>7114</v>
      </c>
      <c r="S720" s="59">
        <v>7142</v>
      </c>
      <c r="T720" s="59">
        <v>7369</v>
      </c>
      <c r="U720" s="59">
        <v>7640</v>
      </c>
      <c r="V720" s="59">
        <v>7885</v>
      </c>
      <c r="W720" s="59">
        <v>8276</v>
      </c>
      <c r="X720" s="59">
        <v>8489</v>
      </c>
      <c r="Y720" s="59">
        <v>8779</v>
      </c>
      <c r="Z720" s="59">
        <v>8631</v>
      </c>
      <c r="AA720" s="59"/>
      <c r="AB720" s="59"/>
      <c r="AC720" s="59"/>
      <c r="AD720" s="59"/>
      <c r="AE720" s="59"/>
      <c r="AF720" s="59"/>
      <c r="AG720" s="59"/>
      <c r="AH720" s="59"/>
      <c r="AI720" s="59"/>
      <c r="AJ720" s="59"/>
      <c r="AK720" s="59"/>
    </row>
    <row r="721" spans="2:37" x14ac:dyDescent="0.25">
      <c r="F721" t="s">
        <v>381</v>
      </c>
      <c r="H721" s="223" t="s">
        <v>1512</v>
      </c>
      <c r="I721" s="59"/>
      <c r="J721" s="108"/>
      <c r="K721" s="108"/>
      <c r="L721" s="108"/>
      <c r="M721" s="108"/>
      <c r="N721" s="108"/>
      <c r="O721" s="59"/>
      <c r="P721" s="59"/>
      <c r="Q721" s="59">
        <v>3142</v>
      </c>
      <c r="R721" s="59">
        <v>3306</v>
      </c>
      <c r="S721" s="59">
        <v>3328</v>
      </c>
      <c r="T721" s="59">
        <v>3257</v>
      </c>
      <c r="U721" s="59">
        <v>3328</v>
      </c>
      <c r="V721" s="59">
        <v>3426</v>
      </c>
      <c r="W721" s="59">
        <v>3701</v>
      </c>
      <c r="X721" s="59">
        <v>3799</v>
      </c>
      <c r="Y721" s="59">
        <v>4006</v>
      </c>
      <c r="Z721" s="59">
        <v>3970</v>
      </c>
      <c r="AA721" s="59"/>
      <c r="AB721" s="59"/>
      <c r="AC721" s="59"/>
      <c r="AD721" s="59"/>
      <c r="AE721" s="59"/>
      <c r="AF721" s="59"/>
      <c r="AG721" s="59"/>
      <c r="AH721" s="59"/>
      <c r="AI721" s="59"/>
      <c r="AJ721" s="59"/>
      <c r="AK721" s="59"/>
    </row>
    <row r="722" spans="2:37" s="13" customFormat="1" x14ac:dyDescent="0.25">
      <c r="B722" s="14"/>
      <c r="C722" s="13" t="s">
        <v>382</v>
      </c>
      <c r="I722" s="62"/>
      <c r="J722" s="107"/>
      <c r="K722" s="107"/>
      <c r="L722" s="107"/>
      <c r="M722" s="107"/>
      <c r="N722" s="107"/>
      <c r="O722" s="62"/>
      <c r="P722" s="62"/>
      <c r="Q722" s="62"/>
      <c r="R722" s="62"/>
      <c r="S722" s="62"/>
      <c r="T722" s="62"/>
      <c r="U722" s="62"/>
      <c r="V722" s="62"/>
      <c r="W722" s="62"/>
      <c r="X722" s="62"/>
      <c r="Y722" s="62"/>
      <c r="Z722" s="62"/>
      <c r="AA722" s="62"/>
      <c r="AB722" s="62"/>
      <c r="AC722" s="62"/>
      <c r="AD722" s="62"/>
      <c r="AE722" s="62"/>
      <c r="AF722" s="62"/>
      <c r="AG722" s="62"/>
      <c r="AH722" s="62"/>
      <c r="AI722" s="62"/>
      <c r="AJ722" s="62"/>
      <c r="AK722" s="62"/>
    </row>
    <row r="723" spans="2:37" x14ac:dyDescent="0.25">
      <c r="D723" t="s">
        <v>378</v>
      </c>
      <c r="H723" s="223" t="s">
        <v>1511</v>
      </c>
      <c r="I723" s="59"/>
      <c r="J723" s="108"/>
      <c r="K723" s="108"/>
      <c r="L723" s="108"/>
      <c r="M723" s="108"/>
      <c r="N723" s="108"/>
      <c r="O723" s="59"/>
      <c r="P723" s="59"/>
      <c r="Q723" s="59">
        <v>70271</v>
      </c>
      <c r="R723" s="59">
        <v>73627</v>
      </c>
      <c r="S723" s="59">
        <v>69020</v>
      </c>
      <c r="T723" s="59">
        <v>68078</v>
      </c>
      <c r="U723" s="59">
        <v>73572</v>
      </c>
      <c r="V723" s="59">
        <v>75325</v>
      </c>
      <c r="W723" s="59">
        <v>75594</v>
      </c>
      <c r="X723" s="59">
        <v>80049</v>
      </c>
      <c r="Y723" s="59">
        <v>83831</v>
      </c>
      <c r="Z723" s="59">
        <v>84678</v>
      </c>
      <c r="AA723" s="59"/>
      <c r="AB723" s="59"/>
      <c r="AC723" s="59"/>
      <c r="AD723" s="59"/>
      <c r="AE723" s="59"/>
      <c r="AF723" s="59"/>
      <c r="AG723" s="59"/>
      <c r="AH723" s="59"/>
      <c r="AI723" s="59"/>
      <c r="AJ723" s="59"/>
      <c r="AK723" s="59"/>
    </row>
    <row r="724" spans="2:37" x14ac:dyDescent="0.25">
      <c r="E724" t="s">
        <v>379</v>
      </c>
      <c r="H724" s="223" t="s">
        <v>1511</v>
      </c>
      <c r="I724" s="59"/>
      <c r="J724" s="108"/>
      <c r="K724" s="108"/>
      <c r="L724" s="108"/>
      <c r="M724" s="108"/>
      <c r="N724" s="108"/>
      <c r="O724" s="59"/>
      <c r="P724" s="59"/>
      <c r="Q724" s="59">
        <v>74318</v>
      </c>
      <c r="R724" s="59">
        <v>72386</v>
      </c>
      <c r="S724" s="59">
        <v>73182</v>
      </c>
      <c r="T724" s="59">
        <v>42316</v>
      </c>
      <c r="U724" s="59">
        <v>67639</v>
      </c>
      <c r="V724" s="59">
        <v>61087</v>
      </c>
      <c r="W724" s="59">
        <v>60139</v>
      </c>
      <c r="X724" s="59"/>
      <c r="Y724" s="59">
        <v>57037</v>
      </c>
      <c r="Z724" s="59">
        <v>82813</v>
      </c>
      <c r="AA724" s="59"/>
      <c r="AB724" s="59"/>
      <c r="AC724" s="59"/>
      <c r="AD724" s="59"/>
      <c r="AE724" s="59"/>
      <c r="AF724" s="59"/>
      <c r="AG724" s="59"/>
      <c r="AH724" s="59"/>
      <c r="AI724" s="59"/>
      <c r="AJ724" s="59"/>
      <c r="AK724" s="59"/>
    </row>
    <row r="725" spans="2:37" x14ac:dyDescent="0.25">
      <c r="E725" t="s">
        <v>380</v>
      </c>
      <c r="H725" s="223" t="s">
        <v>1511</v>
      </c>
      <c r="I725" s="59"/>
      <c r="J725" s="108"/>
      <c r="K725" s="108"/>
      <c r="L725" s="108"/>
      <c r="M725" s="108"/>
      <c r="N725" s="108"/>
      <c r="O725" s="59"/>
      <c r="P725" s="59"/>
      <c r="Q725" s="59">
        <v>71107</v>
      </c>
      <c r="R725" s="59">
        <v>75017</v>
      </c>
      <c r="S725" s="59">
        <v>69142</v>
      </c>
      <c r="T725" s="59">
        <v>68641</v>
      </c>
      <c r="U725" s="59">
        <v>73693</v>
      </c>
      <c r="V725" s="59">
        <v>75893</v>
      </c>
      <c r="W725" s="59">
        <v>7593</v>
      </c>
      <c r="X725" s="59">
        <v>80643</v>
      </c>
      <c r="Y725" s="59">
        <v>85303</v>
      </c>
      <c r="Z725" s="59">
        <v>87864</v>
      </c>
      <c r="AA725" s="59"/>
      <c r="AB725" s="59"/>
      <c r="AC725" s="59"/>
      <c r="AD725" s="59"/>
      <c r="AE725" s="59"/>
      <c r="AF725" s="59"/>
      <c r="AG725" s="59"/>
      <c r="AH725" s="59"/>
      <c r="AI725" s="59"/>
      <c r="AJ725" s="59"/>
      <c r="AK725" s="59"/>
    </row>
    <row r="726" spans="2:37" x14ac:dyDescent="0.25">
      <c r="F726" t="s">
        <v>381</v>
      </c>
      <c r="H726" s="223" t="s">
        <v>1511</v>
      </c>
      <c r="I726" s="59"/>
      <c r="J726" s="108"/>
      <c r="K726" s="108"/>
      <c r="L726" s="108"/>
      <c r="M726" s="108"/>
      <c r="N726" s="108"/>
      <c r="O726" s="59"/>
      <c r="P726" s="59"/>
      <c r="Q726" s="59">
        <v>59605</v>
      </c>
      <c r="R726" s="59">
        <v>54234</v>
      </c>
      <c r="S726" s="59">
        <v>53974</v>
      </c>
      <c r="T726" s="59">
        <v>57614</v>
      </c>
      <c r="U726" s="59">
        <v>64645</v>
      </c>
      <c r="V726" s="59">
        <v>67117</v>
      </c>
      <c r="W726" s="59">
        <v>70517</v>
      </c>
      <c r="X726" s="59">
        <v>75406</v>
      </c>
      <c r="Y726" s="59">
        <v>75150</v>
      </c>
      <c r="Z726" s="59">
        <v>73411</v>
      </c>
      <c r="AA726" s="59"/>
      <c r="AB726" s="59"/>
      <c r="AC726" s="59"/>
      <c r="AD726" s="59"/>
      <c r="AE726" s="59"/>
      <c r="AF726" s="59"/>
      <c r="AG726" s="59"/>
      <c r="AH726" s="59"/>
      <c r="AI726" s="59"/>
      <c r="AJ726" s="59"/>
      <c r="AK726" s="59"/>
    </row>
    <row r="727" spans="2:37" s="13" customFormat="1" x14ac:dyDescent="0.25">
      <c r="B727" s="14"/>
      <c r="C727" s="13" t="s">
        <v>383</v>
      </c>
      <c r="I727" s="62"/>
      <c r="J727" s="107"/>
      <c r="K727" s="107"/>
      <c r="L727" s="107"/>
      <c r="M727" s="107"/>
      <c r="N727" s="107"/>
      <c r="O727" s="62"/>
      <c r="P727" s="62"/>
      <c r="Q727" s="62"/>
      <c r="R727" s="62"/>
      <c r="S727" s="62"/>
      <c r="T727" s="62"/>
      <c r="U727" s="62"/>
      <c r="V727" s="62"/>
      <c r="W727" s="62"/>
      <c r="X727" s="62"/>
      <c r="Y727" s="62"/>
      <c r="Z727" s="62"/>
      <c r="AA727" s="62"/>
      <c r="AB727" s="62"/>
      <c r="AC727" s="62"/>
      <c r="AD727" s="62"/>
      <c r="AE727" s="62"/>
      <c r="AF727" s="62"/>
      <c r="AG727" s="62"/>
      <c r="AH727" s="62"/>
      <c r="AI727" s="62"/>
      <c r="AJ727" s="62"/>
      <c r="AK727" s="62"/>
    </row>
    <row r="728" spans="2:37" x14ac:dyDescent="0.25">
      <c r="D728" t="s">
        <v>378</v>
      </c>
      <c r="H728" s="223" t="s">
        <v>1511</v>
      </c>
      <c r="I728" s="59"/>
      <c r="J728" s="108"/>
      <c r="K728" s="108"/>
      <c r="L728" s="108"/>
      <c r="M728" s="108"/>
      <c r="N728" s="108"/>
      <c r="O728" s="59"/>
      <c r="P728" s="59"/>
      <c r="Q728" s="59">
        <v>104432</v>
      </c>
      <c r="R728" s="59">
        <v>109539</v>
      </c>
      <c r="S728" s="59">
        <v>106027</v>
      </c>
      <c r="T728" s="59">
        <v>107054</v>
      </c>
      <c r="U728" s="59">
        <v>110785</v>
      </c>
      <c r="V728" s="59">
        <v>110861</v>
      </c>
      <c r="W728" s="59">
        <v>115534</v>
      </c>
      <c r="X728" s="59">
        <v>121879</v>
      </c>
      <c r="Y728" s="59">
        <v>128868</v>
      </c>
      <c r="Z728" s="59">
        <v>132531</v>
      </c>
      <c r="AA728" s="59"/>
      <c r="AB728" s="59"/>
      <c r="AC728" s="59"/>
      <c r="AD728" s="59"/>
      <c r="AE728" s="59"/>
      <c r="AF728" s="59"/>
      <c r="AG728" s="59"/>
      <c r="AH728" s="59"/>
      <c r="AI728" s="59"/>
      <c r="AJ728" s="59"/>
      <c r="AK728" s="59"/>
    </row>
    <row r="729" spans="2:37" x14ac:dyDescent="0.25">
      <c r="E729" t="s">
        <v>379</v>
      </c>
      <c r="H729" s="223" t="s">
        <v>1511</v>
      </c>
      <c r="I729" s="59"/>
      <c r="J729" s="108"/>
      <c r="K729" s="108"/>
      <c r="L729" s="108"/>
      <c r="M729" s="108"/>
      <c r="N729" s="108"/>
      <c r="O729" s="59"/>
      <c r="P729" s="59"/>
      <c r="Q729" s="59">
        <v>75907</v>
      </c>
      <c r="R729" s="59">
        <v>81279</v>
      </c>
      <c r="S729" s="59">
        <v>68653</v>
      </c>
      <c r="T729" s="59">
        <v>77514</v>
      </c>
      <c r="U729" s="59">
        <v>76400</v>
      </c>
      <c r="V729" s="59">
        <v>81506</v>
      </c>
      <c r="W729" s="59">
        <v>81117</v>
      </c>
      <c r="X729" s="59">
        <v>77742</v>
      </c>
      <c r="Y729" s="59">
        <v>60074</v>
      </c>
      <c r="Z729" s="59">
        <v>89745</v>
      </c>
      <c r="AA729" s="59"/>
      <c r="AB729" s="59"/>
      <c r="AC729" s="59"/>
      <c r="AD729" s="59"/>
      <c r="AE729" s="59"/>
      <c r="AF729" s="59"/>
      <c r="AG729" s="59"/>
      <c r="AH729" s="59"/>
      <c r="AI729" s="59"/>
      <c r="AJ729" s="59"/>
      <c r="AK729" s="59"/>
    </row>
    <row r="730" spans="2:37" x14ac:dyDescent="0.25">
      <c r="E730" t="s">
        <v>380</v>
      </c>
      <c r="H730" s="223" t="s">
        <v>1511</v>
      </c>
      <c r="I730" s="59"/>
      <c r="J730" s="108"/>
      <c r="K730" s="108"/>
      <c r="L730" s="108"/>
      <c r="M730" s="108"/>
      <c r="N730" s="108"/>
      <c r="O730" s="59"/>
      <c r="P730" s="59"/>
      <c r="Q730" s="59">
        <v>105596</v>
      </c>
      <c r="R730" s="59">
        <v>110340</v>
      </c>
      <c r="S730" s="59">
        <v>107050</v>
      </c>
      <c r="T730" s="59">
        <v>107912</v>
      </c>
      <c r="U730" s="59">
        <v>111834</v>
      </c>
      <c r="V730" s="59">
        <v>111986</v>
      </c>
      <c r="W730" s="59">
        <v>116782</v>
      </c>
      <c r="X730" s="59">
        <v>123515</v>
      </c>
      <c r="Y730" s="59">
        <v>131939</v>
      </c>
      <c r="Z730" s="59">
        <v>135174</v>
      </c>
      <c r="AA730" s="59"/>
      <c r="AB730" s="59"/>
      <c r="AC730" s="59"/>
      <c r="AD730" s="59"/>
      <c r="AE730" s="59"/>
      <c r="AF730" s="59"/>
      <c r="AG730" s="59"/>
      <c r="AH730" s="59"/>
      <c r="AI730" s="59"/>
      <c r="AJ730" s="59"/>
      <c r="AK730" s="59"/>
    </row>
    <row r="731" spans="2:37" x14ac:dyDescent="0.25">
      <c r="F731" t="s">
        <v>381</v>
      </c>
      <c r="H731" s="223" t="s">
        <v>1511</v>
      </c>
      <c r="I731" s="59"/>
      <c r="J731" s="108"/>
      <c r="K731" s="108"/>
      <c r="L731" s="108"/>
      <c r="M731" s="108"/>
      <c r="N731" s="108"/>
      <c r="O731" s="59"/>
      <c r="P731" s="59"/>
      <c r="Q731" s="59">
        <v>67266</v>
      </c>
      <c r="R731" s="59">
        <v>65983</v>
      </c>
      <c r="S731" s="59">
        <v>70325</v>
      </c>
      <c r="T731" s="59">
        <v>83702</v>
      </c>
      <c r="U731" s="59">
        <v>88159</v>
      </c>
      <c r="V731" s="59">
        <v>91203</v>
      </c>
      <c r="W731" s="59">
        <v>100353</v>
      </c>
      <c r="X731" s="59">
        <v>100868</v>
      </c>
      <c r="Y731" s="59">
        <v>97231</v>
      </c>
      <c r="Z731" s="59">
        <v>98336</v>
      </c>
      <c r="AA731" s="59"/>
      <c r="AB731" s="59"/>
      <c r="AC731" s="59"/>
      <c r="AD731" s="59"/>
      <c r="AE731" s="59"/>
      <c r="AF731" s="59"/>
      <c r="AG731" s="59"/>
      <c r="AH731" s="59"/>
      <c r="AI731" s="59"/>
      <c r="AJ731" s="59"/>
      <c r="AK731" s="59"/>
    </row>
    <row r="732" spans="2:37" s="13" customFormat="1" x14ac:dyDescent="0.25">
      <c r="B732" s="14"/>
      <c r="C732" s="13" t="s">
        <v>376</v>
      </c>
      <c r="I732" s="62"/>
      <c r="J732" s="107"/>
      <c r="K732" s="107"/>
      <c r="L732" s="107"/>
      <c r="M732" s="107"/>
      <c r="N732" s="107"/>
      <c r="O732" s="62"/>
      <c r="P732" s="62"/>
      <c r="Q732" s="62"/>
      <c r="R732" s="62"/>
      <c r="S732" s="62"/>
      <c r="T732" s="62"/>
      <c r="U732" s="62"/>
      <c r="V732" s="62"/>
      <c r="W732" s="62"/>
      <c r="X732" s="62"/>
      <c r="Y732" s="62"/>
      <c r="Z732" s="62"/>
      <c r="AA732" s="62"/>
      <c r="AB732" s="62"/>
      <c r="AC732" s="62"/>
      <c r="AD732" s="62"/>
      <c r="AE732" s="62"/>
      <c r="AF732" s="62"/>
      <c r="AG732" s="62"/>
      <c r="AH732" s="62"/>
      <c r="AI732" s="62"/>
      <c r="AJ732" s="62"/>
      <c r="AK732" s="62"/>
    </row>
    <row r="733" spans="2:37" x14ac:dyDescent="0.25">
      <c r="D733" t="s">
        <v>378</v>
      </c>
      <c r="H733" t="s">
        <v>1512</v>
      </c>
      <c r="I733" s="59"/>
      <c r="J733" s="108"/>
      <c r="K733" s="108"/>
      <c r="L733" s="108"/>
      <c r="M733" s="108"/>
      <c r="N733" s="108"/>
      <c r="O733" s="59"/>
      <c r="P733" s="59"/>
      <c r="Q733" s="59">
        <v>6327</v>
      </c>
      <c r="R733" s="59">
        <v>6173</v>
      </c>
      <c r="S733" s="59">
        <v>6339</v>
      </c>
      <c r="T733" s="59">
        <v>6580</v>
      </c>
      <c r="U733" s="59">
        <v>6830</v>
      </c>
      <c r="V733" s="59">
        <v>7058</v>
      </c>
      <c r="W733" s="59">
        <v>7283</v>
      </c>
      <c r="X733" s="59">
        <v>7397</v>
      </c>
      <c r="Y733" s="59">
        <v>7708</v>
      </c>
      <c r="Z733" s="59">
        <v>7593</v>
      </c>
      <c r="AA733" s="59"/>
      <c r="AB733" s="59"/>
      <c r="AC733" s="59"/>
      <c r="AD733" s="59"/>
      <c r="AE733" s="59"/>
      <c r="AF733" s="59"/>
      <c r="AG733" s="59"/>
      <c r="AH733" s="59"/>
      <c r="AI733" s="59"/>
      <c r="AJ733" s="59"/>
      <c r="AK733" s="59"/>
    </row>
    <row r="734" spans="2:37" x14ac:dyDescent="0.25">
      <c r="E734" t="s">
        <v>379</v>
      </c>
      <c r="H734" s="223" t="s">
        <v>1512</v>
      </c>
      <c r="I734" s="59"/>
      <c r="J734" s="108"/>
      <c r="K734" s="108"/>
      <c r="L734" s="108"/>
      <c r="M734" s="108"/>
      <c r="N734" s="108"/>
      <c r="O734" s="59"/>
      <c r="P734" s="59"/>
      <c r="Q734" s="59">
        <v>68</v>
      </c>
      <c r="R734" s="59">
        <v>53</v>
      </c>
      <c r="S734" s="59">
        <v>129</v>
      </c>
      <c r="T734" s="59">
        <v>186</v>
      </c>
      <c r="U734" s="59">
        <v>207</v>
      </c>
      <c r="V734" s="59">
        <v>244</v>
      </c>
      <c r="W734" s="59">
        <v>242</v>
      </c>
      <c r="X734" s="59">
        <v>154</v>
      </c>
      <c r="Y734" s="59">
        <v>129</v>
      </c>
      <c r="Z734" s="59">
        <v>133</v>
      </c>
      <c r="AA734" s="59"/>
      <c r="AB734" s="59"/>
      <c r="AC734" s="59"/>
      <c r="AD734" s="59"/>
      <c r="AE734" s="59"/>
      <c r="AF734" s="59"/>
      <c r="AG734" s="59"/>
      <c r="AH734" s="59"/>
      <c r="AI734" s="59"/>
      <c r="AJ734" s="59"/>
      <c r="AK734" s="59"/>
    </row>
    <row r="735" spans="2:37" x14ac:dyDescent="0.25">
      <c r="E735" t="s">
        <v>380</v>
      </c>
      <c r="H735" s="223" t="s">
        <v>1512</v>
      </c>
      <c r="I735" s="59"/>
      <c r="J735" s="108"/>
      <c r="K735" s="108"/>
      <c r="L735" s="108"/>
      <c r="M735" s="108"/>
      <c r="N735" s="108"/>
      <c r="O735" s="59"/>
      <c r="P735" s="59"/>
      <c r="Q735" s="59">
        <v>6138</v>
      </c>
      <c r="R735" s="59">
        <v>6041</v>
      </c>
      <c r="S735" s="59">
        <v>6181</v>
      </c>
      <c r="T735" s="59">
        <v>6394</v>
      </c>
      <c r="U735" s="59">
        <v>6623</v>
      </c>
      <c r="V735" s="59">
        <v>6814</v>
      </c>
      <c r="W735" s="59">
        <v>7041</v>
      </c>
      <c r="X735" s="59">
        <v>7154</v>
      </c>
      <c r="Y735" s="59">
        <v>7402</v>
      </c>
      <c r="Z735" s="59">
        <v>7280</v>
      </c>
      <c r="AA735" s="59"/>
      <c r="AB735" s="59"/>
      <c r="AC735" s="59"/>
      <c r="AD735" s="59"/>
      <c r="AE735" s="59"/>
      <c r="AF735" s="59"/>
      <c r="AG735" s="59"/>
      <c r="AH735" s="59"/>
      <c r="AI735" s="59"/>
      <c r="AJ735" s="59"/>
      <c r="AK735" s="59"/>
    </row>
    <row r="736" spans="2:37" x14ac:dyDescent="0.25">
      <c r="F736" t="s">
        <v>381</v>
      </c>
      <c r="H736" s="223" t="s">
        <v>1512</v>
      </c>
      <c r="I736" s="59"/>
      <c r="J736" s="108"/>
      <c r="K736" s="108"/>
      <c r="L736" s="108"/>
      <c r="M736" s="108"/>
      <c r="N736" s="108"/>
      <c r="O736" s="59"/>
      <c r="P736" s="59"/>
      <c r="Q736" s="59">
        <v>2887</v>
      </c>
      <c r="R736" s="59">
        <v>2988</v>
      </c>
      <c r="S736" s="59">
        <v>3133</v>
      </c>
      <c r="T736" s="59">
        <v>3033</v>
      </c>
      <c r="U736" s="59">
        <v>3093</v>
      </c>
      <c r="V736" s="59">
        <v>3177</v>
      </c>
      <c r="W736" s="59">
        <v>3396</v>
      </c>
      <c r="X736" s="59">
        <v>3418</v>
      </c>
      <c r="Y736" s="59">
        <v>3613</v>
      </c>
      <c r="Z736" s="59">
        <v>3535</v>
      </c>
      <c r="AA736" s="59"/>
      <c r="AB736" s="59"/>
      <c r="AC736" s="59"/>
      <c r="AD736" s="59"/>
      <c r="AE736" s="59"/>
      <c r="AF736" s="59"/>
      <c r="AG736" s="59"/>
      <c r="AH736" s="59"/>
      <c r="AI736" s="59"/>
      <c r="AJ736" s="59"/>
      <c r="AK736" s="59"/>
    </row>
    <row r="737" spans="2:37" s="13" customFormat="1" x14ac:dyDescent="0.25">
      <c r="B737" s="14"/>
      <c r="C737" s="13" t="s">
        <v>384</v>
      </c>
      <c r="I737" s="62"/>
      <c r="J737" s="107"/>
      <c r="K737" s="107"/>
      <c r="L737" s="107"/>
      <c r="M737" s="107"/>
      <c r="N737" s="107"/>
      <c r="O737" s="62"/>
      <c r="P737" s="62"/>
      <c r="Q737" s="62"/>
      <c r="R737" s="62"/>
      <c r="S737" s="62"/>
      <c r="T737" s="62"/>
      <c r="U737" s="62"/>
      <c r="V737" s="62"/>
      <c r="W737" s="62"/>
      <c r="X737" s="62"/>
      <c r="Y737" s="62"/>
      <c r="Z737" s="62"/>
      <c r="AA737" s="62"/>
      <c r="AB737" s="62"/>
      <c r="AC737" s="62"/>
      <c r="AD737" s="62"/>
      <c r="AE737" s="62"/>
      <c r="AF737" s="62"/>
      <c r="AG737" s="62"/>
      <c r="AH737" s="62"/>
      <c r="AI737" s="62"/>
      <c r="AJ737" s="62"/>
      <c r="AK737" s="62"/>
    </row>
    <row r="738" spans="2:37" x14ac:dyDescent="0.25">
      <c r="D738" t="s">
        <v>378</v>
      </c>
      <c r="H738" t="s">
        <v>384</v>
      </c>
      <c r="I738" s="59"/>
      <c r="J738" s="108"/>
      <c r="K738" s="108"/>
      <c r="L738" s="108"/>
      <c r="M738" s="108"/>
      <c r="N738" s="108"/>
      <c r="O738" s="59"/>
      <c r="P738" s="59"/>
      <c r="Q738" s="59">
        <v>4307</v>
      </c>
      <c r="R738" s="59">
        <v>4210</v>
      </c>
      <c r="S738" s="59">
        <v>4398</v>
      </c>
      <c r="T738" s="59">
        <v>4532</v>
      </c>
      <c r="U738" s="59">
        <v>4831</v>
      </c>
      <c r="V738" s="59">
        <v>4840</v>
      </c>
      <c r="W738" s="59">
        <v>4981</v>
      </c>
      <c r="X738" s="59">
        <v>5231</v>
      </c>
      <c r="Y738" s="59">
        <v>5305</v>
      </c>
      <c r="Z738" s="59">
        <v>5190</v>
      </c>
      <c r="AA738" s="59"/>
      <c r="AB738" s="59"/>
      <c r="AC738" s="59"/>
      <c r="AD738" s="59"/>
      <c r="AE738" s="59"/>
      <c r="AF738" s="59"/>
      <c r="AG738" s="59"/>
      <c r="AH738" s="59"/>
      <c r="AI738" s="59"/>
      <c r="AJ738" s="59"/>
      <c r="AK738" s="59"/>
    </row>
    <row r="739" spans="2:37" x14ac:dyDescent="0.25">
      <c r="E739" t="s">
        <v>379</v>
      </c>
      <c r="H739" s="223" t="s">
        <v>384</v>
      </c>
      <c r="I739" s="59"/>
      <c r="J739" s="108"/>
      <c r="K739" s="108"/>
      <c r="L739" s="108"/>
      <c r="M739" s="108"/>
      <c r="N739" s="108"/>
      <c r="O739" s="59"/>
      <c r="P739" s="59"/>
      <c r="Q739" s="59">
        <v>68</v>
      </c>
      <c r="R739" s="59">
        <v>44</v>
      </c>
      <c r="S739" s="59">
        <v>84</v>
      </c>
      <c r="T739" s="59">
        <v>94</v>
      </c>
      <c r="U739" s="59">
        <v>117</v>
      </c>
      <c r="V739" s="59">
        <v>158</v>
      </c>
      <c r="W739" s="59">
        <v>159</v>
      </c>
      <c r="X739" s="59">
        <v>154</v>
      </c>
      <c r="Y739" s="59">
        <v>122</v>
      </c>
      <c r="Z739" s="59">
        <v>117</v>
      </c>
      <c r="AA739" s="59"/>
      <c r="AB739" s="59"/>
      <c r="AC739" s="59"/>
      <c r="AD739" s="59"/>
      <c r="AE739" s="59"/>
      <c r="AF739" s="59"/>
      <c r="AG739" s="59"/>
      <c r="AH739" s="59"/>
      <c r="AI739" s="59"/>
      <c r="AJ739" s="59"/>
      <c r="AK739" s="59"/>
    </row>
    <row r="740" spans="2:37" x14ac:dyDescent="0.25">
      <c r="E740" t="s">
        <v>380</v>
      </c>
      <c r="H740" s="223" t="s">
        <v>384</v>
      </c>
      <c r="I740" s="59"/>
      <c r="J740" s="108"/>
      <c r="K740" s="108"/>
      <c r="L740" s="108"/>
      <c r="M740" s="108"/>
      <c r="N740" s="108"/>
      <c r="O740" s="59"/>
      <c r="P740" s="59"/>
      <c r="Q740" s="59">
        <v>4239</v>
      </c>
      <c r="R740" s="59">
        <v>4166</v>
      </c>
      <c r="S740" s="59">
        <v>4314</v>
      </c>
      <c r="T740" s="59">
        <v>4438</v>
      </c>
      <c r="U740" s="59">
        <v>4714</v>
      </c>
      <c r="V740" s="59">
        <v>4682</v>
      </c>
      <c r="W740" s="59">
        <v>4822</v>
      </c>
      <c r="X740" s="59">
        <v>5031</v>
      </c>
      <c r="Y740" s="59">
        <v>5122</v>
      </c>
      <c r="Z740" s="59">
        <v>5015</v>
      </c>
      <c r="AA740" s="59"/>
      <c r="AB740" s="59"/>
      <c r="AC740" s="59"/>
      <c r="AD740" s="59"/>
      <c r="AE740" s="59"/>
      <c r="AF740" s="59"/>
      <c r="AG740" s="59"/>
      <c r="AH740" s="59"/>
      <c r="AI740" s="59"/>
      <c r="AJ740" s="59"/>
      <c r="AK740" s="59"/>
    </row>
    <row r="741" spans="2:37" x14ac:dyDescent="0.25">
      <c r="F741" t="s">
        <v>381</v>
      </c>
      <c r="H741" s="223" t="s">
        <v>384</v>
      </c>
      <c r="I741" s="59"/>
      <c r="J741" s="108"/>
      <c r="K741" s="108"/>
      <c r="L741" s="108"/>
      <c r="M741" s="108"/>
      <c r="N741" s="108"/>
      <c r="O741" s="59"/>
      <c r="P741" s="59"/>
      <c r="Q741" s="59">
        <v>1557</v>
      </c>
      <c r="R741" s="59">
        <v>1659</v>
      </c>
      <c r="S741" s="59">
        <v>1880</v>
      </c>
      <c r="T741" s="59">
        <v>1821</v>
      </c>
      <c r="U741" s="59">
        <v>1912</v>
      </c>
      <c r="V741" s="59">
        <v>1900</v>
      </c>
      <c r="W741" s="59">
        <v>1933</v>
      </c>
      <c r="X741" s="59">
        <v>1906</v>
      </c>
      <c r="Y741" s="59">
        <v>2021</v>
      </c>
      <c r="Z741" s="59">
        <v>1857</v>
      </c>
      <c r="AA741" s="59"/>
      <c r="AB741" s="59"/>
      <c r="AC741" s="59"/>
      <c r="AD741" s="59"/>
      <c r="AE741" s="59"/>
      <c r="AF741" s="59"/>
      <c r="AG741" s="59"/>
      <c r="AH741" s="59"/>
      <c r="AI741" s="59"/>
      <c r="AJ741" s="59"/>
      <c r="AK741" s="59"/>
    </row>
    <row r="742" spans="2:37" s="13" customFormat="1" x14ac:dyDescent="0.25">
      <c r="B742" s="14"/>
      <c r="C742" s="13" t="s">
        <v>386</v>
      </c>
      <c r="I742" s="62"/>
      <c r="J742" s="107"/>
      <c r="K742" s="107"/>
      <c r="L742" s="107"/>
      <c r="M742" s="107"/>
      <c r="N742" s="107"/>
      <c r="O742" s="62"/>
      <c r="P742" s="62"/>
      <c r="Q742" s="62"/>
      <c r="R742" s="62"/>
      <c r="S742" s="62"/>
      <c r="T742" s="62"/>
      <c r="U742" s="62"/>
      <c r="V742" s="62"/>
      <c r="W742" s="62"/>
      <c r="X742" s="62"/>
      <c r="Y742" s="62"/>
      <c r="Z742" s="62"/>
      <c r="AA742" s="62"/>
      <c r="AB742" s="62"/>
      <c r="AC742" s="62"/>
      <c r="AD742" s="62"/>
      <c r="AE742" s="62"/>
      <c r="AF742" s="62"/>
      <c r="AG742" s="62"/>
      <c r="AH742" s="62"/>
      <c r="AI742" s="62"/>
      <c r="AJ742" s="62"/>
      <c r="AK742" s="62"/>
    </row>
    <row r="743" spans="2:37" x14ac:dyDescent="0.25">
      <c r="D743" t="s">
        <v>378</v>
      </c>
      <c r="H743" s="223" t="s">
        <v>1511</v>
      </c>
      <c r="I743" s="59"/>
      <c r="J743" s="108"/>
      <c r="K743" s="108"/>
      <c r="L743" s="108"/>
      <c r="M743" s="108"/>
      <c r="N743" s="108"/>
      <c r="O743" s="59"/>
      <c r="P743" s="59"/>
      <c r="Q743" s="59">
        <v>90596</v>
      </c>
      <c r="R743" s="59">
        <v>93029</v>
      </c>
      <c r="S743" s="59">
        <v>86184</v>
      </c>
      <c r="T743" s="59">
        <v>83558</v>
      </c>
      <c r="U743" s="59">
        <v>88652</v>
      </c>
      <c r="V743" s="59">
        <v>93443</v>
      </c>
      <c r="W743" s="59">
        <v>96113</v>
      </c>
      <c r="X743" s="59">
        <v>104210</v>
      </c>
      <c r="Y743" s="59">
        <v>110592</v>
      </c>
      <c r="Z743" s="59">
        <v>110667</v>
      </c>
      <c r="AA743" s="59"/>
      <c r="AB743" s="59"/>
      <c r="AC743" s="59"/>
      <c r="AD743" s="59"/>
      <c r="AE743" s="59"/>
      <c r="AF743" s="59"/>
      <c r="AG743" s="59"/>
      <c r="AH743" s="59"/>
      <c r="AI743" s="59"/>
      <c r="AJ743" s="59"/>
      <c r="AK743" s="59"/>
    </row>
    <row r="744" spans="2:37" x14ac:dyDescent="0.25">
      <c r="E744" t="s">
        <v>379</v>
      </c>
      <c r="H744" s="223" t="s">
        <v>1511</v>
      </c>
      <c r="I744" s="59"/>
      <c r="J744" s="108"/>
      <c r="K744" s="108"/>
      <c r="L744" s="108"/>
      <c r="M744" s="108"/>
      <c r="N744" s="108"/>
      <c r="O744" s="59"/>
      <c r="P744" s="59"/>
      <c r="Q744" s="59">
        <v>74318</v>
      </c>
      <c r="R744" s="59">
        <v>83088</v>
      </c>
      <c r="S744" s="59">
        <v>85673</v>
      </c>
      <c r="T744" s="59">
        <v>86364</v>
      </c>
      <c r="U744" s="59">
        <v>86464</v>
      </c>
      <c r="V744" s="59">
        <v>86722</v>
      </c>
      <c r="W744" s="59">
        <v>89028</v>
      </c>
      <c r="X744" s="59">
        <v>91359</v>
      </c>
      <c r="Y744" s="59"/>
      <c r="Z744" s="59"/>
      <c r="AA744" s="59"/>
      <c r="AB744" s="59"/>
      <c r="AC744" s="59"/>
      <c r="AD744" s="59"/>
      <c r="AE744" s="59"/>
      <c r="AF744" s="59"/>
      <c r="AG744" s="59"/>
      <c r="AH744" s="59"/>
      <c r="AI744" s="59"/>
      <c r="AJ744" s="59"/>
      <c r="AK744" s="59"/>
    </row>
    <row r="745" spans="2:37" x14ac:dyDescent="0.25">
      <c r="E745" t="s">
        <v>380</v>
      </c>
      <c r="H745" s="223" t="s">
        <v>1511</v>
      </c>
      <c r="I745" s="59"/>
      <c r="J745" s="108"/>
      <c r="K745" s="108"/>
      <c r="L745" s="108"/>
      <c r="M745" s="108"/>
      <c r="N745" s="108"/>
      <c r="O745" s="59"/>
      <c r="P745" s="59"/>
      <c r="Q745" s="59">
        <v>91045</v>
      </c>
      <c r="R745" s="59">
        <v>93341</v>
      </c>
      <c r="S745" s="59">
        <v>86450</v>
      </c>
      <c r="T745" s="59">
        <v>82981</v>
      </c>
      <c r="U745" s="59">
        <v>89817</v>
      </c>
      <c r="V745" s="59">
        <v>94426</v>
      </c>
      <c r="W745" s="59">
        <v>96797</v>
      </c>
      <c r="X745" s="59">
        <v>105131</v>
      </c>
      <c r="Y745" s="59">
        <v>111895</v>
      </c>
      <c r="Z745" s="59">
        <v>111417</v>
      </c>
      <c r="AA745" s="59"/>
      <c r="AB745" s="59"/>
      <c r="AC745" s="59"/>
      <c r="AD745" s="59"/>
      <c r="AE745" s="59"/>
      <c r="AF745" s="59"/>
      <c r="AG745" s="59"/>
      <c r="AH745" s="59"/>
      <c r="AI745" s="59"/>
      <c r="AJ745" s="59"/>
      <c r="AK745" s="59"/>
    </row>
    <row r="746" spans="2:37" x14ac:dyDescent="0.25">
      <c r="F746" t="s">
        <v>381</v>
      </c>
      <c r="H746" s="223" t="s">
        <v>1511</v>
      </c>
      <c r="I746" s="59"/>
      <c r="J746" s="108"/>
      <c r="K746" s="108"/>
      <c r="L746" s="108"/>
      <c r="M746" s="108"/>
      <c r="N746" s="108"/>
      <c r="O746" s="59"/>
      <c r="P746" s="59"/>
      <c r="Q746" s="59">
        <v>69432</v>
      </c>
      <c r="R746" s="59">
        <v>68933</v>
      </c>
      <c r="S746" s="59">
        <v>66064</v>
      </c>
      <c r="T746" s="59">
        <v>66804</v>
      </c>
      <c r="U746" s="59">
        <v>69877</v>
      </c>
      <c r="V746" s="59">
        <v>75444</v>
      </c>
      <c r="W746" s="59">
        <v>78680</v>
      </c>
      <c r="X746" s="59">
        <v>82143</v>
      </c>
      <c r="Y746" s="59">
        <v>84535</v>
      </c>
      <c r="Z746" s="59">
        <v>93260</v>
      </c>
      <c r="AA746" s="59"/>
      <c r="AB746" s="59"/>
      <c r="AC746" s="59"/>
      <c r="AD746" s="59"/>
      <c r="AE746" s="59"/>
      <c r="AF746" s="59"/>
      <c r="AG746" s="59"/>
      <c r="AH746" s="59"/>
      <c r="AI746" s="59"/>
      <c r="AJ746" s="59"/>
      <c r="AK746" s="59"/>
    </row>
    <row r="747" spans="2:37" s="13" customFormat="1" x14ac:dyDescent="0.25">
      <c r="B747" s="14"/>
      <c r="C747" s="13" t="s">
        <v>387</v>
      </c>
      <c r="I747" s="62"/>
      <c r="J747" s="107"/>
      <c r="K747" s="107"/>
      <c r="L747" s="107"/>
      <c r="M747" s="107"/>
      <c r="N747" s="107"/>
      <c r="O747" s="62"/>
      <c r="P747" s="62"/>
      <c r="Q747" s="62"/>
      <c r="R747" s="62"/>
      <c r="S747" s="62"/>
      <c r="T747" s="62"/>
      <c r="U747" s="62"/>
      <c r="V747" s="62"/>
      <c r="W747" s="62"/>
      <c r="X747" s="62"/>
      <c r="Y747" s="62"/>
      <c r="Z747" s="62"/>
      <c r="AA747" s="62"/>
      <c r="AB747" s="62"/>
      <c r="AC747" s="62"/>
      <c r="AD747" s="62"/>
      <c r="AE747" s="62"/>
      <c r="AF747" s="62"/>
      <c r="AG747" s="62"/>
      <c r="AH747" s="62"/>
      <c r="AI747" s="62"/>
      <c r="AJ747" s="62"/>
      <c r="AK747" s="62"/>
    </row>
    <row r="748" spans="2:37" x14ac:dyDescent="0.25">
      <c r="D748" t="s">
        <v>378</v>
      </c>
      <c r="H748" s="223" t="s">
        <v>1511</v>
      </c>
      <c r="I748" s="59"/>
      <c r="J748" s="108"/>
      <c r="K748" s="108"/>
      <c r="L748" s="108"/>
      <c r="M748" s="108"/>
      <c r="N748" s="108"/>
      <c r="O748" s="59"/>
      <c r="P748" s="59"/>
      <c r="Q748" s="59">
        <v>132509</v>
      </c>
      <c r="R748" s="59">
        <v>139972</v>
      </c>
      <c r="S748" s="59">
        <v>132648</v>
      </c>
      <c r="T748" s="59">
        <v>127510</v>
      </c>
      <c r="U748" s="59">
        <v>125416</v>
      </c>
      <c r="V748" s="59">
        <v>122845</v>
      </c>
      <c r="W748" s="59">
        <v>133610</v>
      </c>
      <c r="X748" s="59">
        <v>139822</v>
      </c>
      <c r="Y748" s="59">
        <v>160020</v>
      </c>
      <c r="Z748" s="59">
        <v>172024</v>
      </c>
      <c r="AA748" s="59"/>
      <c r="AB748" s="59"/>
      <c r="AC748" s="59"/>
      <c r="AD748" s="59"/>
      <c r="AE748" s="59"/>
      <c r="AF748" s="59"/>
      <c r="AG748" s="59"/>
      <c r="AH748" s="59"/>
      <c r="AI748" s="59"/>
      <c r="AJ748" s="59"/>
      <c r="AK748" s="59"/>
    </row>
    <row r="749" spans="2:37" x14ac:dyDescent="0.25">
      <c r="E749" t="s">
        <v>379</v>
      </c>
      <c r="H749" s="223" t="s">
        <v>1511</v>
      </c>
      <c r="I749" s="59"/>
      <c r="J749" s="108"/>
      <c r="K749" s="108"/>
      <c r="L749" s="108"/>
      <c r="M749" s="108"/>
      <c r="N749" s="108"/>
      <c r="O749" s="59"/>
      <c r="P749" s="59"/>
      <c r="Q749" s="59">
        <v>75907</v>
      </c>
      <c r="R749" s="59">
        <v>87532</v>
      </c>
      <c r="S749" s="59">
        <v>106425</v>
      </c>
      <c r="T749" s="59">
        <v>133365</v>
      </c>
      <c r="U749" s="59">
        <v>117723</v>
      </c>
      <c r="V749" s="59">
        <v>122923</v>
      </c>
      <c r="W749" s="59">
        <v>119264</v>
      </c>
      <c r="X749" s="59">
        <v>103214</v>
      </c>
      <c r="Y749" s="59">
        <v>68446</v>
      </c>
      <c r="Z749" s="59">
        <v>117113</v>
      </c>
      <c r="AA749" s="59"/>
      <c r="AB749" s="59"/>
      <c r="AC749" s="59"/>
      <c r="AD749" s="59"/>
      <c r="AE749" s="59"/>
      <c r="AF749" s="59"/>
      <c r="AG749" s="59"/>
      <c r="AH749" s="59"/>
      <c r="AI749" s="59"/>
      <c r="AJ749" s="59"/>
      <c r="AK749" s="59"/>
    </row>
    <row r="750" spans="2:37" x14ac:dyDescent="0.25">
      <c r="E750" t="s">
        <v>380</v>
      </c>
      <c r="H750" s="223" t="s">
        <v>1511</v>
      </c>
      <c r="I750" s="59"/>
      <c r="J750" s="108"/>
      <c r="K750" s="108"/>
      <c r="L750" s="108"/>
      <c r="M750" s="108"/>
      <c r="N750" s="108"/>
      <c r="O750" s="59"/>
      <c r="P750" s="59"/>
      <c r="Q750" s="59">
        <v>133417</v>
      </c>
      <c r="R750" s="59">
        <v>140526</v>
      </c>
      <c r="S750" s="59">
        <v>133158</v>
      </c>
      <c r="T750" s="59">
        <v>127386</v>
      </c>
      <c r="U750" s="59">
        <v>125607</v>
      </c>
      <c r="V750" s="59">
        <v>122843</v>
      </c>
      <c r="W750" s="59">
        <v>134083</v>
      </c>
      <c r="X750" s="59">
        <v>141588</v>
      </c>
      <c r="Y750" s="59">
        <v>163261</v>
      </c>
      <c r="Z750" s="59">
        <v>174459</v>
      </c>
      <c r="AA750" s="59"/>
      <c r="AB750" s="59"/>
      <c r="AC750" s="59"/>
      <c r="AD750" s="59"/>
      <c r="AE750" s="59"/>
      <c r="AF750" s="59"/>
      <c r="AG750" s="59"/>
      <c r="AH750" s="59"/>
      <c r="AI750" s="59"/>
      <c r="AJ750" s="59"/>
      <c r="AK750" s="59"/>
    </row>
    <row r="751" spans="2:37" x14ac:dyDescent="0.25">
      <c r="F751" t="s">
        <v>381</v>
      </c>
      <c r="H751" s="223" t="s">
        <v>1511</v>
      </c>
      <c r="I751" s="59"/>
      <c r="J751" s="108"/>
      <c r="K751" s="108"/>
      <c r="L751" s="108"/>
      <c r="M751" s="108"/>
      <c r="N751" s="108"/>
      <c r="O751" s="59"/>
      <c r="P751" s="59"/>
      <c r="Q751" s="59">
        <v>77854</v>
      </c>
      <c r="R751" s="59">
        <v>77402</v>
      </c>
      <c r="S751" s="59">
        <v>81055</v>
      </c>
      <c r="T751" s="59">
        <v>84628</v>
      </c>
      <c r="U751" s="59">
        <v>89652</v>
      </c>
      <c r="V751" s="59">
        <v>97482</v>
      </c>
      <c r="W751" s="59">
        <v>107075</v>
      </c>
      <c r="X751" s="59">
        <v>111745</v>
      </c>
      <c r="Y751" s="59">
        <v>119655</v>
      </c>
      <c r="Z751" s="59">
        <v>134384</v>
      </c>
      <c r="AA751" s="59"/>
      <c r="AB751" s="59"/>
      <c r="AC751" s="59"/>
      <c r="AD751" s="59"/>
      <c r="AE751" s="59"/>
      <c r="AF751" s="59"/>
      <c r="AG751" s="59"/>
      <c r="AH751" s="59"/>
      <c r="AI751" s="59"/>
      <c r="AJ751" s="59"/>
      <c r="AK751" s="59"/>
    </row>
    <row r="752" spans="2:37" s="13" customFormat="1" x14ac:dyDescent="0.25">
      <c r="B752" s="14"/>
      <c r="C752" s="13" t="s">
        <v>385</v>
      </c>
      <c r="I752" s="62"/>
      <c r="J752" s="107"/>
      <c r="K752" s="107"/>
      <c r="L752" s="107"/>
      <c r="M752" s="107"/>
      <c r="N752" s="107"/>
      <c r="O752" s="62"/>
      <c r="P752" s="62"/>
      <c r="Q752" s="62"/>
      <c r="R752" s="62"/>
      <c r="S752" s="62"/>
      <c r="T752" s="62"/>
      <c r="U752" s="62"/>
      <c r="V752" s="62"/>
      <c r="W752" s="62"/>
      <c r="X752" s="62"/>
      <c r="Y752" s="62"/>
      <c r="Z752" s="62"/>
      <c r="AA752" s="62"/>
      <c r="AB752" s="62"/>
      <c r="AC752" s="62"/>
      <c r="AD752" s="62"/>
      <c r="AE752" s="62"/>
      <c r="AF752" s="62"/>
      <c r="AG752" s="62"/>
      <c r="AH752" s="62"/>
      <c r="AI752" s="62"/>
      <c r="AJ752" s="62"/>
      <c r="AK752" s="62"/>
    </row>
    <row r="753" spans="1:37" x14ac:dyDescent="0.25">
      <c r="D753" t="s">
        <v>378</v>
      </c>
      <c r="H753" t="s">
        <v>1511</v>
      </c>
      <c r="I753" s="59"/>
      <c r="J753" s="108"/>
      <c r="K753" s="108"/>
      <c r="L753" s="108"/>
      <c r="M753" s="108"/>
      <c r="N753" s="108"/>
      <c r="O753" s="59"/>
      <c r="P753" s="59"/>
      <c r="Q753" s="59">
        <v>42224</v>
      </c>
      <c r="R753" s="59">
        <v>43877</v>
      </c>
      <c r="S753" s="59">
        <v>41755</v>
      </c>
      <c r="T753" s="59">
        <v>43444</v>
      </c>
      <c r="U753" s="59">
        <v>43628</v>
      </c>
      <c r="V753" s="59">
        <v>44231</v>
      </c>
      <c r="W753" s="59">
        <v>46499</v>
      </c>
      <c r="X753" s="59">
        <v>49200</v>
      </c>
      <c r="Y753" s="59">
        <v>53703</v>
      </c>
      <c r="Z753" s="59">
        <v>54051</v>
      </c>
      <c r="AA753" s="59"/>
      <c r="AB753" s="59"/>
      <c r="AC753" s="59"/>
      <c r="AD753" s="59"/>
      <c r="AE753" s="59"/>
      <c r="AF753" s="59"/>
      <c r="AG753" s="59"/>
      <c r="AH753" s="59"/>
      <c r="AI753" s="59"/>
      <c r="AJ753" s="59"/>
      <c r="AK753" s="59"/>
    </row>
    <row r="754" spans="1:37" x14ac:dyDescent="0.25">
      <c r="E754" t="s">
        <v>379</v>
      </c>
      <c r="H754" s="223" t="s">
        <v>1511</v>
      </c>
      <c r="I754" s="59"/>
      <c r="J754" s="108"/>
      <c r="K754" s="108"/>
      <c r="L754" s="108"/>
      <c r="M754" s="108"/>
      <c r="N754" s="108"/>
      <c r="O754" s="59"/>
      <c r="P754" s="59"/>
      <c r="Q754" s="59">
        <v>17730</v>
      </c>
      <c r="R754" s="59">
        <v>28247</v>
      </c>
      <c r="S754" s="59">
        <v>31011</v>
      </c>
      <c r="T754" s="59">
        <v>40151</v>
      </c>
      <c r="U754" s="59">
        <v>37142</v>
      </c>
      <c r="V754" s="59">
        <v>40183</v>
      </c>
      <c r="W754" s="59">
        <v>38759</v>
      </c>
      <c r="X754" s="59">
        <v>37189</v>
      </c>
      <c r="Y754" s="59">
        <v>32462</v>
      </c>
      <c r="Z754" s="59">
        <v>40011</v>
      </c>
      <c r="AA754" s="59"/>
      <c r="AB754" s="59"/>
      <c r="AC754" s="59"/>
      <c r="AD754" s="59"/>
      <c r="AE754" s="59"/>
      <c r="AF754" s="59"/>
      <c r="AG754" s="59"/>
      <c r="AH754" s="59"/>
      <c r="AI754" s="59"/>
      <c r="AJ754" s="59"/>
      <c r="AK754" s="59"/>
    </row>
    <row r="755" spans="1:37" x14ac:dyDescent="0.25">
      <c r="E755" t="s">
        <v>380</v>
      </c>
      <c r="H755" s="223" t="s">
        <v>1511</v>
      </c>
      <c r="I755" s="59"/>
      <c r="J755" s="108"/>
      <c r="K755" s="108"/>
      <c r="L755" s="108"/>
      <c r="M755" s="108"/>
      <c r="N755" s="108"/>
      <c r="O755" s="59"/>
      <c r="P755" s="59"/>
      <c r="Q755" s="59">
        <v>42891</v>
      </c>
      <c r="R755" s="59">
        <v>44083</v>
      </c>
      <c r="S755" s="59">
        <v>42176</v>
      </c>
      <c r="T755" s="59">
        <v>43805</v>
      </c>
      <c r="U755" s="59">
        <v>44127</v>
      </c>
      <c r="V755" s="59">
        <v>44774</v>
      </c>
      <c r="W755" s="59">
        <v>47307</v>
      </c>
      <c r="X755" s="59">
        <v>50243</v>
      </c>
      <c r="Y755" s="59">
        <v>55174</v>
      </c>
      <c r="Z755" s="59">
        <v>55373</v>
      </c>
      <c r="AA755" s="59"/>
      <c r="AB755" s="59"/>
      <c r="AC755" s="59"/>
      <c r="AD755" s="59"/>
      <c r="AE755" s="59"/>
      <c r="AF755" s="59"/>
      <c r="AG755" s="59"/>
      <c r="AH755" s="59"/>
      <c r="AI755" s="59"/>
      <c r="AJ755" s="59"/>
      <c r="AK755" s="59"/>
    </row>
    <row r="756" spans="1:37" x14ac:dyDescent="0.25">
      <c r="F756" t="s">
        <v>381</v>
      </c>
      <c r="H756" s="223" t="s">
        <v>1511</v>
      </c>
      <c r="I756" s="59"/>
      <c r="J756" s="108"/>
      <c r="K756" s="108"/>
      <c r="L756" s="108"/>
      <c r="M756" s="108"/>
      <c r="N756" s="108"/>
      <c r="O756" s="59"/>
      <c r="P756" s="59"/>
      <c r="Q756" s="59">
        <v>27066</v>
      </c>
      <c r="R756" s="59">
        <v>29223</v>
      </c>
      <c r="S756" s="59">
        <v>28692</v>
      </c>
      <c r="T756" s="59">
        <v>32924</v>
      </c>
      <c r="U756" s="59">
        <v>33499</v>
      </c>
      <c r="V756" s="59">
        <v>34455</v>
      </c>
      <c r="W756" s="59">
        <v>39330</v>
      </c>
      <c r="X756" s="59">
        <v>39350</v>
      </c>
      <c r="Y756" s="59">
        <v>39589</v>
      </c>
      <c r="Z756" s="59">
        <v>40192</v>
      </c>
      <c r="AA756" s="59"/>
      <c r="AB756" s="59"/>
      <c r="AC756" s="59"/>
      <c r="AD756" s="59"/>
      <c r="AE756" s="59"/>
      <c r="AF756" s="59"/>
      <c r="AG756" s="59"/>
      <c r="AH756" s="59"/>
      <c r="AI756" s="59"/>
      <c r="AJ756" s="59"/>
      <c r="AK756" s="59"/>
    </row>
    <row r="757" spans="1:37" s="3" customFormat="1" x14ac:dyDescent="0.25">
      <c r="B757" s="4"/>
      <c r="J757" s="73"/>
      <c r="K757" s="73"/>
      <c r="L757" s="73"/>
      <c r="M757" s="73"/>
      <c r="N757" s="73"/>
    </row>
    <row r="758" spans="1:37" s="37" customFormat="1" ht="17.25" x14ac:dyDescent="0.3">
      <c r="A758" s="37" t="s">
        <v>642</v>
      </c>
    </row>
    <row r="759" spans="1:37" x14ac:dyDescent="0.25">
      <c r="B759" s="64" t="s">
        <v>31</v>
      </c>
      <c r="C759" t="s">
        <v>634</v>
      </c>
    </row>
    <row r="760" spans="1:37" s="223" customFormat="1" x14ac:dyDescent="0.25">
      <c r="B760" s="64" t="s">
        <v>32</v>
      </c>
      <c r="C760" s="195" t="s">
        <v>1403</v>
      </c>
    </row>
    <row r="761" spans="1:37" x14ac:dyDescent="0.25">
      <c r="C761" s="268" t="s">
        <v>1398</v>
      </c>
    </row>
    <row r="762" spans="1:37" x14ac:dyDescent="0.25">
      <c r="B762" s="64" t="s">
        <v>331</v>
      </c>
      <c r="C762" s="5" t="s">
        <v>1487</v>
      </c>
    </row>
    <row r="763" spans="1:37" x14ac:dyDescent="0.25">
      <c r="B763" s="64" t="s">
        <v>332</v>
      </c>
      <c r="C763" t="s">
        <v>1486</v>
      </c>
    </row>
    <row r="764" spans="1:37" s="34" customFormat="1" ht="15.75" thickBot="1" x14ac:dyDescent="0.3">
      <c r="B764" s="65" t="s">
        <v>334</v>
      </c>
    </row>
    <row r="765" spans="1:37" s="13" customFormat="1" ht="15.75" thickTop="1" x14ac:dyDescent="0.25">
      <c r="B765" s="64" t="s">
        <v>34</v>
      </c>
      <c r="C765" s="51" t="s">
        <v>636</v>
      </c>
      <c r="H765" s="9" t="s">
        <v>1511</v>
      </c>
      <c r="I765" s="139">
        <v>65400</v>
      </c>
      <c r="J765" s="139">
        <v>69900</v>
      </c>
      <c r="K765" s="139">
        <v>75300</v>
      </c>
      <c r="L765" s="139">
        <v>74500</v>
      </c>
      <c r="M765" s="139">
        <v>74500</v>
      </c>
      <c r="N765" s="139">
        <v>74500</v>
      </c>
      <c r="O765" s="139">
        <v>83300</v>
      </c>
      <c r="P765" s="139">
        <v>89500</v>
      </c>
      <c r="Q765" s="139">
        <v>89500</v>
      </c>
      <c r="R765" s="139">
        <v>94900</v>
      </c>
      <c r="S765" s="139">
        <v>96200</v>
      </c>
      <c r="T765" s="139">
        <v>96300</v>
      </c>
      <c r="U765" s="139">
        <v>96800</v>
      </c>
      <c r="V765" s="139">
        <v>90700</v>
      </c>
      <c r="W765" s="139">
        <v>85800</v>
      </c>
      <c r="X765" s="139">
        <v>91400</v>
      </c>
      <c r="Y765" s="139">
        <v>98500</v>
      </c>
      <c r="Z765" s="139">
        <v>102200</v>
      </c>
      <c r="AA765" s="139">
        <v>110700</v>
      </c>
      <c r="AB765" s="142">
        <v>115600</v>
      </c>
      <c r="AC765" s="140"/>
      <c r="AD765" s="140"/>
      <c r="AE765" s="140"/>
      <c r="AF765" s="140"/>
      <c r="AG765" s="140"/>
      <c r="AH765" s="140"/>
      <c r="AI765" s="140"/>
      <c r="AJ765" s="140"/>
      <c r="AK765" s="140"/>
    </row>
    <row r="766" spans="1:37" s="3" customFormat="1" x14ac:dyDescent="0.25">
      <c r="B766" s="4"/>
      <c r="J766" s="73"/>
      <c r="K766" s="73"/>
      <c r="L766" s="73"/>
      <c r="M766" s="73"/>
      <c r="N766" s="73"/>
    </row>
    <row r="767" spans="1:37" s="37" customFormat="1" ht="17.25" x14ac:dyDescent="0.3">
      <c r="A767" s="37" t="s">
        <v>1354</v>
      </c>
    </row>
    <row r="768" spans="1:37" s="223" customFormat="1" x14ac:dyDescent="0.25">
      <c r="B768" s="64" t="s">
        <v>31</v>
      </c>
      <c r="C768" s="223" t="s">
        <v>1360</v>
      </c>
    </row>
    <row r="769" spans="1:37" s="223" customFormat="1" x14ac:dyDescent="0.25">
      <c r="B769" s="64" t="s">
        <v>32</v>
      </c>
      <c r="C769" s="195" t="s">
        <v>1404</v>
      </c>
    </row>
    <row r="770" spans="1:37" s="223" customFormat="1" x14ac:dyDescent="0.25">
      <c r="B770" s="64" t="s">
        <v>331</v>
      </c>
      <c r="C770" s="5" t="s">
        <v>1488</v>
      </c>
    </row>
    <row r="771" spans="1:37" s="223" customFormat="1" x14ac:dyDescent="0.25">
      <c r="B771" s="64" t="s">
        <v>332</v>
      </c>
      <c r="C771" s="223" t="s">
        <v>1486</v>
      </c>
    </row>
    <row r="772" spans="1:37" s="34" customFormat="1" ht="15.75" thickBot="1" x14ac:dyDescent="0.3">
      <c r="B772" s="65" t="s">
        <v>334</v>
      </c>
    </row>
    <row r="773" spans="1:37" s="13" customFormat="1" ht="15.75" thickTop="1" x14ac:dyDescent="0.25">
      <c r="B773" s="64" t="s">
        <v>34</v>
      </c>
      <c r="C773" s="15" t="s">
        <v>1352</v>
      </c>
      <c r="I773" s="139"/>
      <c r="J773" s="139"/>
      <c r="K773" s="139"/>
      <c r="L773" s="139"/>
      <c r="M773" s="139"/>
      <c r="N773" s="139"/>
      <c r="O773" s="139"/>
      <c r="P773" s="139"/>
      <c r="Q773" s="139"/>
      <c r="R773" s="139"/>
      <c r="S773" s="139"/>
      <c r="T773" s="139"/>
      <c r="U773" s="139"/>
      <c r="V773" s="139"/>
      <c r="W773" s="139"/>
      <c r="X773" s="139"/>
      <c r="Y773" s="139"/>
      <c r="Z773" s="139"/>
      <c r="AA773" s="139"/>
      <c r="AB773" s="140"/>
      <c r="AC773" s="140"/>
      <c r="AD773" s="140"/>
      <c r="AE773" s="140"/>
      <c r="AF773" s="140"/>
      <c r="AG773" s="140"/>
      <c r="AH773" s="140"/>
      <c r="AI773" s="140"/>
      <c r="AJ773" s="140"/>
      <c r="AK773" s="140"/>
    </row>
    <row r="774" spans="1:37" s="13" customFormat="1" x14ac:dyDescent="0.25">
      <c r="B774" s="64"/>
      <c r="C774" s="15"/>
      <c r="D774" s="9" t="s">
        <v>1355</v>
      </c>
      <c r="H774" s="9" t="s">
        <v>1510</v>
      </c>
      <c r="I774" s="141">
        <v>407</v>
      </c>
      <c r="J774" s="141">
        <v>420</v>
      </c>
      <c r="K774" s="141">
        <v>425</v>
      </c>
      <c r="L774" s="141">
        <v>652</v>
      </c>
      <c r="M774" s="141">
        <v>674</v>
      </c>
      <c r="N774" s="141">
        <v>697</v>
      </c>
      <c r="O774" s="141">
        <v>764</v>
      </c>
      <c r="P774" s="141">
        <v>824</v>
      </c>
      <c r="Q774" s="141">
        <v>887</v>
      </c>
      <c r="R774" s="141">
        <v>863</v>
      </c>
      <c r="S774" s="141">
        <v>622</v>
      </c>
      <c r="T774" s="141">
        <v>776</v>
      </c>
      <c r="U774" s="141">
        <v>691</v>
      </c>
      <c r="V774" s="141">
        <v>774</v>
      </c>
      <c r="W774" s="141">
        <v>962</v>
      </c>
      <c r="X774" s="141">
        <v>758</v>
      </c>
      <c r="Y774" s="141">
        <v>846</v>
      </c>
      <c r="Z774" s="141">
        <v>874</v>
      </c>
      <c r="AA774" s="141">
        <v>942</v>
      </c>
      <c r="AB774" s="143">
        <v>1078</v>
      </c>
      <c r="AC774" s="262"/>
      <c r="AD774" s="262"/>
      <c r="AE774" s="262"/>
      <c r="AF774" s="262"/>
      <c r="AG774" s="262"/>
      <c r="AH774" s="262"/>
      <c r="AI774" s="262"/>
      <c r="AJ774" s="262"/>
      <c r="AK774" s="262"/>
    </row>
    <row r="775" spans="1:37" s="13" customFormat="1" x14ac:dyDescent="0.25">
      <c r="B775" s="64"/>
      <c r="C775" s="15"/>
      <c r="D775" s="9" t="s">
        <v>1356</v>
      </c>
      <c r="H775" s="9" t="s">
        <v>1510</v>
      </c>
      <c r="I775" s="141">
        <v>519</v>
      </c>
      <c r="J775" s="141">
        <v>535</v>
      </c>
      <c r="K775" s="141">
        <v>541</v>
      </c>
      <c r="L775" s="141">
        <v>727</v>
      </c>
      <c r="M775" s="141">
        <v>751</v>
      </c>
      <c r="N775" s="141">
        <v>778</v>
      </c>
      <c r="O775" s="141">
        <v>852</v>
      </c>
      <c r="P775" s="141">
        <v>918</v>
      </c>
      <c r="Q775" s="141">
        <v>989</v>
      </c>
      <c r="R775" s="141">
        <v>962</v>
      </c>
      <c r="S775" s="141">
        <v>964</v>
      </c>
      <c r="T775" s="141">
        <v>922</v>
      </c>
      <c r="U775" s="141">
        <v>822</v>
      </c>
      <c r="V775" s="141">
        <v>921</v>
      </c>
      <c r="W775" s="141">
        <v>974</v>
      </c>
      <c r="X775" s="141">
        <v>938</v>
      </c>
      <c r="Y775" s="141">
        <v>1038</v>
      </c>
      <c r="Z775" s="141">
        <v>1056</v>
      </c>
      <c r="AA775" s="141">
        <v>1108</v>
      </c>
      <c r="AB775" s="143">
        <v>1162</v>
      </c>
      <c r="AC775" s="262"/>
      <c r="AD775" s="262"/>
      <c r="AE775" s="262"/>
      <c r="AF775" s="262"/>
      <c r="AG775" s="262"/>
      <c r="AH775" s="262"/>
      <c r="AI775" s="262"/>
      <c r="AJ775" s="262"/>
      <c r="AK775" s="262"/>
    </row>
    <row r="776" spans="1:37" s="13" customFormat="1" x14ac:dyDescent="0.25">
      <c r="B776" s="64"/>
      <c r="C776" s="15"/>
      <c r="D776" s="9" t="s">
        <v>1357</v>
      </c>
      <c r="H776" s="9" t="s">
        <v>1510</v>
      </c>
      <c r="I776" s="141">
        <v>690</v>
      </c>
      <c r="J776" s="141">
        <v>711</v>
      </c>
      <c r="K776" s="141">
        <v>719</v>
      </c>
      <c r="L776" s="141">
        <v>915</v>
      </c>
      <c r="M776" s="141">
        <v>945</v>
      </c>
      <c r="N776" s="141">
        <v>978</v>
      </c>
      <c r="O776" s="141">
        <v>1072</v>
      </c>
      <c r="P776" s="141">
        <v>1155</v>
      </c>
      <c r="Q776" s="141">
        <v>1244</v>
      </c>
      <c r="R776" s="141">
        <v>1210</v>
      </c>
      <c r="S776" s="141">
        <v>873</v>
      </c>
      <c r="T776" s="141">
        <v>1114</v>
      </c>
      <c r="U776" s="141">
        <v>993</v>
      </c>
      <c r="V776" s="141">
        <v>1112</v>
      </c>
      <c r="W776" s="141">
        <v>1169</v>
      </c>
      <c r="X776" s="141">
        <v>1098</v>
      </c>
      <c r="Y776" s="141">
        <v>1192</v>
      </c>
      <c r="Z776" s="141">
        <v>1209</v>
      </c>
      <c r="AA776" s="141">
        <v>1261</v>
      </c>
      <c r="AB776" s="143">
        <v>1325</v>
      </c>
      <c r="AC776" s="262"/>
      <c r="AD776" s="262"/>
      <c r="AE776" s="262"/>
      <c r="AF776" s="262"/>
      <c r="AG776" s="262"/>
      <c r="AH776" s="262"/>
      <c r="AI776" s="262"/>
      <c r="AJ776" s="262"/>
      <c r="AK776" s="262"/>
    </row>
    <row r="777" spans="1:37" s="13" customFormat="1" x14ac:dyDescent="0.25">
      <c r="B777" s="64"/>
      <c r="C777" s="15"/>
      <c r="D777" s="9" t="s">
        <v>1358</v>
      </c>
      <c r="H777" s="9" t="s">
        <v>1510</v>
      </c>
      <c r="I777" s="141">
        <v>927</v>
      </c>
      <c r="J777" s="141">
        <v>957</v>
      </c>
      <c r="K777" s="141">
        <v>968</v>
      </c>
      <c r="L777" s="141">
        <v>1206</v>
      </c>
      <c r="M777" s="141">
        <v>1246</v>
      </c>
      <c r="N777" s="141">
        <v>1289</v>
      </c>
      <c r="O777" s="141">
        <v>1413</v>
      </c>
      <c r="P777" s="141">
        <v>1522</v>
      </c>
      <c r="Q777" s="141">
        <v>1640</v>
      </c>
      <c r="R777" s="141">
        <v>1595</v>
      </c>
      <c r="S777" s="141">
        <v>1151</v>
      </c>
      <c r="T777" s="141">
        <v>1642</v>
      </c>
      <c r="U777" s="141">
        <v>1463</v>
      </c>
      <c r="V777" s="141">
        <v>1639</v>
      </c>
      <c r="W777" s="141">
        <v>1682</v>
      </c>
      <c r="X777" s="141">
        <v>1485</v>
      </c>
      <c r="Y777" s="141">
        <v>1610</v>
      </c>
      <c r="Z777" s="141">
        <v>1699</v>
      </c>
      <c r="AA777" s="141">
        <v>1791</v>
      </c>
      <c r="AB777" s="143">
        <v>1896</v>
      </c>
      <c r="AC777" s="262"/>
      <c r="AD777" s="262"/>
      <c r="AE777" s="262"/>
      <c r="AF777" s="262"/>
      <c r="AG777" s="262"/>
      <c r="AH777" s="262"/>
      <c r="AI777" s="262"/>
      <c r="AJ777" s="262"/>
      <c r="AK777" s="262"/>
    </row>
    <row r="778" spans="1:37" s="13" customFormat="1" x14ac:dyDescent="0.25">
      <c r="B778" s="64"/>
      <c r="C778" s="15"/>
      <c r="D778" s="9" t="s">
        <v>1359</v>
      </c>
      <c r="H778" s="9" t="s">
        <v>1510</v>
      </c>
      <c r="I778" s="141">
        <v>1011</v>
      </c>
      <c r="J778" s="141">
        <v>1043</v>
      </c>
      <c r="K778" s="141">
        <v>1055</v>
      </c>
      <c r="L778" s="141">
        <v>1242</v>
      </c>
      <c r="M778" s="141">
        <v>1282</v>
      </c>
      <c r="N778" s="141">
        <v>1327</v>
      </c>
      <c r="O778" s="141">
        <v>1455</v>
      </c>
      <c r="P778" s="141">
        <v>1567</v>
      </c>
      <c r="Q778" s="141">
        <v>1688</v>
      </c>
      <c r="R778" s="141">
        <v>1642</v>
      </c>
      <c r="S778" s="141">
        <v>1185</v>
      </c>
      <c r="T778" s="141">
        <v>1699</v>
      </c>
      <c r="U778" s="141">
        <v>1514</v>
      </c>
      <c r="V778" s="141">
        <v>1696</v>
      </c>
      <c r="W778" s="141">
        <v>1750</v>
      </c>
      <c r="X778" s="141">
        <v>1935</v>
      </c>
      <c r="Y778" s="141">
        <v>2099</v>
      </c>
      <c r="Z778" s="141">
        <v>2124</v>
      </c>
      <c r="AA778" s="141">
        <v>2214</v>
      </c>
      <c r="AB778" s="143">
        <v>2294</v>
      </c>
      <c r="AC778" s="262"/>
      <c r="AD778" s="262"/>
      <c r="AE778" s="262"/>
      <c r="AF778" s="262"/>
      <c r="AG778" s="262"/>
      <c r="AH778" s="262"/>
      <c r="AI778" s="262"/>
      <c r="AJ778" s="262"/>
      <c r="AK778" s="262"/>
    </row>
    <row r="779" spans="1:37" s="3" customFormat="1" x14ac:dyDescent="0.25">
      <c r="B779" s="4"/>
      <c r="J779" s="73"/>
      <c r="K779" s="73"/>
      <c r="L779" s="73"/>
      <c r="M779" s="73"/>
      <c r="N779" s="73"/>
      <c r="Y779" s="3">
        <v>758</v>
      </c>
    </row>
    <row r="780" spans="1:37" s="37" customFormat="1" ht="17.25" x14ac:dyDescent="0.3">
      <c r="A780" s="37" t="s">
        <v>367</v>
      </c>
    </row>
    <row r="781" spans="1:37" x14ac:dyDescent="0.25">
      <c r="B781" s="64" t="s">
        <v>31</v>
      </c>
      <c r="C781" t="s">
        <v>637</v>
      </c>
    </row>
    <row r="782" spans="1:37" x14ac:dyDescent="0.25">
      <c r="B782" s="64" t="s">
        <v>32</v>
      </c>
      <c r="C782" s="268" t="s">
        <v>1398</v>
      </c>
    </row>
    <row r="783" spans="1:37" x14ac:dyDescent="0.25">
      <c r="B783" s="64" t="s">
        <v>331</v>
      </c>
      <c r="C783" s="5" t="s">
        <v>1538</v>
      </c>
    </row>
    <row r="784" spans="1:37" x14ac:dyDescent="0.25">
      <c r="B784" s="64" t="s">
        <v>332</v>
      </c>
      <c r="C784" t="s">
        <v>1489</v>
      </c>
    </row>
    <row r="785" spans="1:37" s="34" customFormat="1" ht="15.75" thickBot="1" x14ac:dyDescent="0.3">
      <c r="B785" s="65" t="s">
        <v>334</v>
      </c>
      <c r="C785" s="34" t="s">
        <v>1263</v>
      </c>
      <c r="S785" s="304"/>
      <c r="T785" s="304"/>
      <c r="U785" s="304"/>
      <c r="V785" s="304"/>
      <c r="W785" s="304"/>
      <c r="X785" s="304"/>
      <c r="Y785" s="304"/>
      <c r="Z785" s="304"/>
      <c r="AA785" s="304"/>
    </row>
    <row r="786" spans="1:37" s="9" customFormat="1" ht="15.75" thickTop="1" x14ac:dyDescent="0.25">
      <c r="B786" s="66" t="s">
        <v>34</v>
      </c>
      <c r="C786" s="51" t="s">
        <v>641</v>
      </c>
      <c r="H786" s="9" t="s">
        <v>1509</v>
      </c>
      <c r="I786" s="139">
        <v>545000</v>
      </c>
      <c r="J786" s="139">
        <v>550000</v>
      </c>
      <c r="K786" s="139">
        <v>615000</v>
      </c>
      <c r="L786" s="139">
        <v>750000</v>
      </c>
      <c r="M786" s="139">
        <v>980000</v>
      </c>
      <c r="N786" s="139">
        <v>1150000</v>
      </c>
      <c r="O786" s="139">
        <v>1250000</v>
      </c>
      <c r="P786" s="139">
        <v>1000000</v>
      </c>
      <c r="Q786" s="139">
        <v>1300000</v>
      </c>
      <c r="R786" s="139">
        <v>950000</v>
      </c>
      <c r="S786" s="139">
        <v>910000</v>
      </c>
      <c r="T786" s="139">
        <v>835000</v>
      </c>
      <c r="U786" s="139">
        <v>965000</v>
      </c>
      <c r="V786" s="139">
        <v>1200000</v>
      </c>
      <c r="W786" s="139">
        <v>1130000</v>
      </c>
      <c r="X786" s="139">
        <v>1300000</v>
      </c>
      <c r="Y786" s="139">
        <v>1610000</v>
      </c>
      <c r="Z786" s="139">
        <v>1740000</v>
      </c>
      <c r="AA786" s="142">
        <v>2500000</v>
      </c>
      <c r="AB786" s="142"/>
      <c r="AC786" s="142"/>
      <c r="AD786" s="142"/>
      <c r="AE786" s="142"/>
      <c r="AF786" s="142"/>
      <c r="AG786" s="142"/>
      <c r="AH786" s="142"/>
      <c r="AI786" s="142"/>
      <c r="AJ786" s="142"/>
      <c r="AK786" s="142"/>
    </row>
    <row r="787" spans="1:37" s="9" customFormat="1" x14ac:dyDescent="0.25">
      <c r="B787" s="66"/>
      <c r="C787" s="51" t="s">
        <v>640</v>
      </c>
      <c r="H787" s="9" t="s">
        <v>1509</v>
      </c>
      <c r="I787" s="148">
        <v>1084182</v>
      </c>
      <c r="J787" s="148">
        <v>967320</v>
      </c>
      <c r="K787" s="148">
        <v>1156377</v>
      </c>
      <c r="L787" s="148">
        <v>1311944</v>
      </c>
      <c r="M787" s="148">
        <v>1544288</v>
      </c>
      <c r="N787" s="148">
        <v>1778692</v>
      </c>
      <c r="O787" s="148">
        <v>1937545</v>
      </c>
      <c r="P787" s="148">
        <v>1745229</v>
      </c>
      <c r="Q787" s="148">
        <v>1993425</v>
      </c>
      <c r="R787" s="148">
        <v>1677193</v>
      </c>
      <c r="S787" s="148">
        <v>1676453</v>
      </c>
      <c r="T787" s="148">
        <v>1592715</v>
      </c>
      <c r="U787" s="148">
        <v>1670000</v>
      </c>
      <c r="V787" s="148">
        <v>2013139</v>
      </c>
      <c r="W787" s="148">
        <v>1854910</v>
      </c>
      <c r="X787" s="148">
        <v>1990791</v>
      </c>
      <c r="Y787" s="148">
        <v>2442243</v>
      </c>
      <c r="Z787" s="148">
        <v>2620000</v>
      </c>
      <c r="AA787" s="143">
        <v>3700000</v>
      </c>
      <c r="AB787" s="143"/>
      <c r="AC787" s="143"/>
      <c r="AD787" s="143"/>
      <c r="AE787" s="143"/>
      <c r="AF787" s="143"/>
      <c r="AG787" s="143"/>
      <c r="AH787" s="143"/>
      <c r="AI787" s="143"/>
      <c r="AJ787" s="143"/>
      <c r="AK787" s="143"/>
    </row>
    <row r="788" spans="1:37" s="3" customFormat="1" x14ac:dyDescent="0.25">
      <c r="B788" s="4"/>
      <c r="J788" s="73"/>
      <c r="K788" s="73"/>
      <c r="L788" s="73"/>
      <c r="M788" s="73"/>
      <c r="N788" s="73"/>
    </row>
    <row r="789" spans="1:37" s="37" customFormat="1" ht="17.25" x14ac:dyDescent="0.3">
      <c r="A789" s="37" t="s">
        <v>369</v>
      </c>
    </row>
    <row r="790" spans="1:37" x14ac:dyDescent="0.25">
      <c r="B790" s="64" t="s">
        <v>31</v>
      </c>
      <c r="C790" t="s">
        <v>638</v>
      </c>
    </row>
    <row r="791" spans="1:37" s="223" customFormat="1" x14ac:dyDescent="0.25">
      <c r="B791" s="64" t="s">
        <v>32</v>
      </c>
      <c r="C791" s="195" t="s">
        <v>1402</v>
      </c>
    </row>
    <row r="792" spans="1:37" x14ac:dyDescent="0.25">
      <c r="C792" s="268" t="s">
        <v>1398</v>
      </c>
      <c r="AA792" s="291"/>
    </row>
    <row r="793" spans="1:37" x14ac:dyDescent="0.25">
      <c r="B793" s="64" t="s">
        <v>331</v>
      </c>
      <c r="C793" s="5" t="s">
        <v>1490</v>
      </c>
    </row>
    <row r="794" spans="1:37" x14ac:dyDescent="0.25">
      <c r="B794" s="64" t="s">
        <v>332</v>
      </c>
      <c r="C794" t="s">
        <v>1539</v>
      </c>
      <c r="T794" s="122"/>
    </row>
    <row r="795" spans="1:37" s="34" customFormat="1" ht="15.75" thickBot="1" x14ac:dyDescent="0.3">
      <c r="B795" s="65" t="s">
        <v>334</v>
      </c>
      <c r="C795" s="34" t="s">
        <v>1491</v>
      </c>
      <c r="T795" s="304"/>
      <c r="U795" s="304"/>
      <c r="V795" s="304"/>
      <c r="W795" s="304"/>
      <c r="X795" s="304"/>
      <c r="Y795" s="304"/>
      <c r="Z795" s="304"/>
      <c r="AA795" s="304"/>
    </row>
    <row r="796" spans="1:37" s="144" customFormat="1" ht="15.75" thickTop="1" x14ac:dyDescent="0.25">
      <c r="B796" s="145" t="s">
        <v>34</v>
      </c>
      <c r="C796" s="146" t="s">
        <v>639</v>
      </c>
      <c r="H796" s="144" t="s">
        <v>1509</v>
      </c>
      <c r="I796" s="142"/>
      <c r="J796" s="139">
        <v>450000</v>
      </c>
      <c r="K796" s="139">
        <v>456250</v>
      </c>
      <c r="L796" s="139">
        <v>600000</v>
      </c>
      <c r="M796" s="139">
        <v>685000</v>
      </c>
      <c r="N796" s="139">
        <v>800000</v>
      </c>
      <c r="O796" s="139">
        <v>952750</v>
      </c>
      <c r="P796" s="139">
        <v>808750</v>
      </c>
      <c r="Q796" s="139">
        <v>795000</v>
      </c>
      <c r="R796" s="139">
        <v>650000</v>
      </c>
      <c r="S796" s="139">
        <v>601500</v>
      </c>
      <c r="T796" s="139">
        <v>623673</v>
      </c>
      <c r="U796" s="139">
        <v>735000</v>
      </c>
      <c r="V796" s="139">
        <v>880000</v>
      </c>
      <c r="W796" s="139">
        <v>785000</v>
      </c>
      <c r="X796" s="139">
        <v>820000</v>
      </c>
      <c r="Y796" s="147">
        <v>975000</v>
      </c>
      <c r="Z796" s="147">
        <v>1025000</v>
      </c>
      <c r="AA796" s="292">
        <v>1450000</v>
      </c>
      <c r="AB796" s="142"/>
      <c r="AC796" s="142"/>
      <c r="AD796" s="142"/>
      <c r="AE796" s="142"/>
      <c r="AF796" s="142"/>
      <c r="AG796" s="142"/>
      <c r="AH796" s="142"/>
      <c r="AI796" s="142"/>
      <c r="AJ796" s="142"/>
      <c r="AK796" s="142"/>
    </row>
    <row r="797" spans="1:37" s="9" customFormat="1" x14ac:dyDescent="0.25">
      <c r="B797" s="66"/>
      <c r="C797" s="51" t="s">
        <v>640</v>
      </c>
      <c r="H797" s="9" t="s">
        <v>1509</v>
      </c>
      <c r="I797" s="143"/>
      <c r="J797" s="141">
        <v>792291</v>
      </c>
      <c r="K797" s="141">
        <v>832657</v>
      </c>
      <c r="L797" s="141">
        <v>947221</v>
      </c>
      <c r="M797" s="141">
        <v>1053605</v>
      </c>
      <c r="N797" s="141">
        <v>1182352</v>
      </c>
      <c r="O797" s="141">
        <v>1583720</v>
      </c>
      <c r="P797" s="141">
        <v>1466880</v>
      </c>
      <c r="Q797" s="141">
        <v>1426817</v>
      </c>
      <c r="R797" s="141">
        <v>1094612</v>
      </c>
      <c r="S797" s="141">
        <v>1200384</v>
      </c>
      <c r="T797" s="141">
        <v>983542</v>
      </c>
      <c r="U797" s="141">
        <v>1196397</v>
      </c>
      <c r="V797" s="141">
        <v>1763356.92</v>
      </c>
      <c r="W797" s="141">
        <v>1631191.42</v>
      </c>
      <c r="X797" s="141">
        <v>1399459</v>
      </c>
      <c r="Y797" s="141">
        <v>1704064</v>
      </c>
      <c r="Z797" s="141">
        <v>1713584.54</v>
      </c>
      <c r="AA797" s="292">
        <v>2541573.5</v>
      </c>
      <c r="AB797" s="143"/>
      <c r="AC797" s="143"/>
      <c r="AD797" s="143"/>
      <c r="AE797" s="143"/>
      <c r="AF797" s="143"/>
      <c r="AG797" s="143"/>
      <c r="AH797" s="143"/>
      <c r="AI797" s="143"/>
      <c r="AJ797" s="143"/>
      <c r="AK797" s="143"/>
    </row>
    <row r="798" spans="1:37" s="3" customFormat="1" x14ac:dyDescent="0.25">
      <c r="B798" s="4"/>
      <c r="J798" s="73"/>
      <c r="K798" s="73"/>
      <c r="L798" s="73"/>
      <c r="M798" s="73"/>
      <c r="N798" s="73"/>
    </row>
    <row r="799" spans="1:37" s="37" customFormat="1" ht="17.25" x14ac:dyDescent="0.3">
      <c r="A799" s="37" t="s">
        <v>1464</v>
      </c>
    </row>
    <row r="800" spans="1:37" s="223" customFormat="1" x14ac:dyDescent="0.25">
      <c r="B800" s="64" t="s">
        <v>31</v>
      </c>
      <c r="C800" s="223" t="s">
        <v>198</v>
      </c>
    </row>
    <row r="801" spans="1:37" s="223" customFormat="1" x14ac:dyDescent="0.25">
      <c r="B801" s="64" t="s">
        <v>32</v>
      </c>
      <c r="C801" s="195" t="s">
        <v>1475</v>
      </c>
    </row>
    <row r="802" spans="1:37" s="223" customFormat="1" x14ac:dyDescent="0.25">
      <c r="B802" s="64" t="s">
        <v>331</v>
      </c>
      <c r="C802" s="5"/>
    </row>
    <row r="803" spans="1:37" s="223" customFormat="1" x14ac:dyDescent="0.25">
      <c r="B803" s="64" t="s">
        <v>332</v>
      </c>
    </row>
    <row r="804" spans="1:37" s="34" customFormat="1" ht="15.75" thickBot="1" x14ac:dyDescent="0.3">
      <c r="B804" s="65" t="s">
        <v>334</v>
      </c>
    </row>
    <row r="805" spans="1:37" s="144" customFormat="1" ht="15.75" thickTop="1" x14ac:dyDescent="0.25">
      <c r="B805" s="145" t="s">
        <v>34</v>
      </c>
      <c r="C805" s="146" t="s">
        <v>1348</v>
      </c>
      <c r="I805" s="142"/>
      <c r="J805" s="139"/>
      <c r="K805" s="139"/>
      <c r="L805" s="139"/>
      <c r="M805" s="139"/>
      <c r="N805" s="139"/>
      <c r="O805" s="139"/>
      <c r="P805" s="139"/>
      <c r="Q805" s="139"/>
      <c r="R805" s="139"/>
      <c r="S805" s="139"/>
      <c r="T805" s="139"/>
      <c r="U805" s="139"/>
      <c r="V805" s="139"/>
      <c r="W805" s="139"/>
      <c r="X805" s="139"/>
      <c r="Y805" s="147"/>
      <c r="Z805" s="147"/>
      <c r="AA805" s="142"/>
      <c r="AB805" s="142"/>
      <c r="AC805" s="142"/>
      <c r="AD805" s="142"/>
      <c r="AE805" s="142"/>
      <c r="AF805" s="142"/>
      <c r="AG805" s="142"/>
      <c r="AH805" s="142"/>
      <c r="AI805" s="142"/>
      <c r="AJ805" s="142"/>
      <c r="AK805" s="142"/>
    </row>
    <row r="806" spans="1:37" s="9" customFormat="1" x14ac:dyDescent="0.25">
      <c r="B806" s="66"/>
      <c r="C806" s="51" t="s">
        <v>1350</v>
      </c>
      <c r="I806" s="143"/>
      <c r="J806" s="141"/>
      <c r="K806" s="141"/>
      <c r="L806" s="141"/>
      <c r="M806" s="141"/>
      <c r="N806" s="141"/>
      <c r="O806" s="141"/>
      <c r="P806" s="141"/>
      <c r="Q806" s="141"/>
      <c r="R806" s="141"/>
      <c r="S806" s="141"/>
      <c r="T806" s="141"/>
      <c r="U806" s="141"/>
      <c r="V806" s="141"/>
      <c r="W806" s="141"/>
      <c r="X806" s="141"/>
      <c r="Y806" s="141"/>
      <c r="Z806" s="141"/>
      <c r="AA806" s="143"/>
      <c r="AB806" s="143"/>
      <c r="AC806" s="143"/>
      <c r="AD806" s="143"/>
      <c r="AE806" s="143"/>
      <c r="AF806" s="143"/>
      <c r="AG806" s="143"/>
      <c r="AH806" s="143"/>
      <c r="AI806" s="143"/>
      <c r="AJ806" s="143"/>
      <c r="AK806" s="143"/>
    </row>
    <row r="807" spans="1:37" s="9" customFormat="1" x14ac:dyDescent="0.25">
      <c r="B807" s="66"/>
      <c r="C807" s="51" t="s">
        <v>1476</v>
      </c>
      <c r="I807" s="143"/>
      <c r="J807" s="141"/>
      <c r="K807" s="141"/>
      <c r="L807" s="141"/>
      <c r="M807" s="141"/>
      <c r="N807" s="141"/>
      <c r="O807" s="141"/>
      <c r="P807" s="141"/>
      <c r="Q807" s="141"/>
      <c r="R807" s="141"/>
      <c r="S807" s="141"/>
      <c r="T807" s="141"/>
      <c r="U807" s="141"/>
      <c r="V807" s="141"/>
      <c r="W807" s="141"/>
      <c r="X807" s="141"/>
      <c r="Y807" s="141"/>
      <c r="Z807" s="141"/>
      <c r="AA807" s="143"/>
      <c r="AB807" s="143"/>
      <c r="AC807" s="143"/>
      <c r="AD807" s="143"/>
      <c r="AE807" s="143"/>
      <c r="AF807" s="143"/>
      <c r="AG807" s="143"/>
      <c r="AH807" s="143"/>
      <c r="AI807" s="143"/>
      <c r="AJ807" s="143"/>
      <c r="AK807" s="143"/>
    </row>
    <row r="808" spans="1:37" s="9" customFormat="1" x14ac:dyDescent="0.25">
      <c r="B808" s="66"/>
      <c r="C808" s="51" t="s">
        <v>1477</v>
      </c>
      <c r="I808" s="143"/>
      <c r="J808" s="141"/>
      <c r="K808" s="141"/>
      <c r="L808" s="141"/>
      <c r="M808" s="141"/>
      <c r="N808" s="141"/>
      <c r="O808" s="141"/>
      <c r="P808" s="141"/>
      <c r="Q808" s="141"/>
      <c r="R808" s="141"/>
      <c r="S808" s="141"/>
      <c r="T808" s="141"/>
      <c r="U808" s="141"/>
      <c r="V808" s="141"/>
      <c r="W808" s="141"/>
      <c r="X808" s="141"/>
      <c r="Y808" s="141"/>
      <c r="Z808" s="141"/>
      <c r="AA808" s="143"/>
      <c r="AB808" s="143"/>
      <c r="AC808" s="143"/>
      <c r="AD808" s="143"/>
      <c r="AE808" s="143"/>
      <c r="AF808" s="143"/>
      <c r="AG808" s="143"/>
      <c r="AH808" s="143"/>
      <c r="AI808" s="143"/>
      <c r="AJ808" s="143"/>
      <c r="AK808" s="143"/>
    </row>
    <row r="809" spans="1:37" s="9" customFormat="1" x14ac:dyDescent="0.25">
      <c r="B809" s="66"/>
      <c r="C809" s="51" t="s">
        <v>1349</v>
      </c>
      <c r="I809" s="143"/>
      <c r="J809" s="141"/>
      <c r="K809" s="141"/>
      <c r="L809" s="141"/>
      <c r="M809" s="141"/>
      <c r="N809" s="141"/>
      <c r="O809" s="141"/>
      <c r="P809" s="141"/>
      <c r="Q809" s="141"/>
      <c r="R809" s="141"/>
      <c r="S809" s="141"/>
      <c r="T809" s="141"/>
      <c r="U809" s="141"/>
      <c r="V809" s="141"/>
      <c r="W809" s="141"/>
      <c r="X809" s="141"/>
      <c r="Y809" s="141"/>
      <c r="Z809" s="141"/>
      <c r="AA809" s="143"/>
      <c r="AB809" s="143"/>
      <c r="AC809" s="143"/>
      <c r="AD809" s="143"/>
      <c r="AE809" s="143"/>
      <c r="AF809" s="143"/>
      <c r="AG809" s="143"/>
      <c r="AH809" s="143"/>
      <c r="AI809" s="143"/>
      <c r="AJ809" s="143"/>
      <c r="AK809" s="143"/>
    </row>
    <row r="810" spans="1:37" s="3" customFormat="1" x14ac:dyDescent="0.25">
      <c r="B810" s="4"/>
      <c r="J810" s="73"/>
      <c r="K810" s="73"/>
      <c r="L810" s="73"/>
      <c r="M810" s="73"/>
      <c r="N810" s="73"/>
    </row>
    <row r="811" spans="1:37" s="37" customFormat="1" ht="17.25" x14ac:dyDescent="0.3">
      <c r="A811" s="37" t="s">
        <v>361</v>
      </c>
    </row>
    <row r="812" spans="1:37" x14ac:dyDescent="0.25">
      <c r="B812" s="64" t="s">
        <v>31</v>
      </c>
      <c r="C812" t="s">
        <v>1964</v>
      </c>
    </row>
    <row r="813" spans="1:37" x14ac:dyDescent="0.25">
      <c r="B813" s="64"/>
      <c r="C813" t="s">
        <v>352</v>
      </c>
    </row>
    <row r="814" spans="1:37" x14ac:dyDescent="0.25">
      <c r="B814" s="64" t="s">
        <v>32</v>
      </c>
      <c r="C814" s="195" t="s">
        <v>408</v>
      </c>
    </row>
    <row r="815" spans="1:37" x14ac:dyDescent="0.25">
      <c r="B815" s="64" t="s">
        <v>331</v>
      </c>
      <c r="C815" s="5" t="s">
        <v>653</v>
      </c>
    </row>
    <row r="816" spans="1:37" x14ac:dyDescent="0.25">
      <c r="B816" s="64"/>
      <c r="D816" s="2" t="s">
        <v>1540</v>
      </c>
    </row>
    <row r="817" spans="2:37" x14ac:dyDescent="0.25">
      <c r="B817" s="64" t="s">
        <v>332</v>
      </c>
      <c r="C817" t="s">
        <v>656</v>
      </c>
    </row>
    <row r="818" spans="2:37" s="5" customFormat="1" x14ac:dyDescent="0.25">
      <c r="B818" s="71" t="s">
        <v>334</v>
      </c>
      <c r="C818" s="5" t="s">
        <v>655</v>
      </c>
    </row>
    <row r="819" spans="2:37" s="5" customFormat="1" x14ac:dyDescent="0.25">
      <c r="B819" s="71"/>
      <c r="C819" s="2" t="s">
        <v>2028</v>
      </c>
    </row>
    <row r="820" spans="2:37" s="34" customFormat="1" ht="15.75" thickBot="1" x14ac:dyDescent="0.3">
      <c r="B820" s="65"/>
      <c r="C820" s="34" t="s">
        <v>654</v>
      </c>
    </row>
    <row r="821" spans="2:37" s="62" customFormat="1" ht="15.75" thickTop="1" x14ac:dyDescent="0.25">
      <c r="B821" s="149" t="s">
        <v>34</v>
      </c>
      <c r="C821" s="62" t="s">
        <v>648</v>
      </c>
      <c r="H821" s="62" t="s">
        <v>1015</v>
      </c>
      <c r="I821" s="155"/>
      <c r="J821" s="155"/>
      <c r="K821" s="155"/>
      <c r="L821" s="155"/>
      <c r="M821" s="155"/>
      <c r="N821" s="155"/>
      <c r="O821" s="155"/>
      <c r="P821" s="155">
        <f t="shared" ref="P821:AK821" si="151">SUM(P823:P824,P826:P830)</f>
        <v>752</v>
      </c>
      <c r="Q821" s="155">
        <f t="shared" si="151"/>
        <v>784</v>
      </c>
      <c r="R821" s="155">
        <f t="shared" si="151"/>
        <v>786</v>
      </c>
      <c r="S821" s="155">
        <f t="shared" si="151"/>
        <v>843</v>
      </c>
      <c r="T821" s="155">
        <f t="shared" si="151"/>
        <v>873</v>
      </c>
      <c r="U821" s="155">
        <f t="shared" si="151"/>
        <v>889</v>
      </c>
      <c r="V821" s="155">
        <f t="shared" si="151"/>
        <v>966</v>
      </c>
      <c r="W821" s="155">
        <f t="shared" si="151"/>
        <v>1034</v>
      </c>
      <c r="X821" s="155">
        <f t="shared" si="151"/>
        <v>1052</v>
      </c>
      <c r="Y821" s="155">
        <f t="shared" si="151"/>
        <v>1136</v>
      </c>
      <c r="Z821" s="155">
        <f t="shared" si="151"/>
        <v>1182</v>
      </c>
      <c r="AA821" s="155">
        <f t="shared" si="151"/>
        <v>1256</v>
      </c>
      <c r="AB821" s="155">
        <f t="shared" si="151"/>
        <v>0</v>
      </c>
      <c r="AC821" s="155">
        <f t="shared" si="151"/>
        <v>0</v>
      </c>
      <c r="AD821" s="155">
        <f t="shared" si="151"/>
        <v>0</v>
      </c>
      <c r="AE821" s="155">
        <f t="shared" si="151"/>
        <v>0</v>
      </c>
      <c r="AF821" s="155">
        <f t="shared" si="151"/>
        <v>0</v>
      </c>
      <c r="AG821" s="155">
        <f t="shared" si="151"/>
        <v>0</v>
      </c>
      <c r="AH821" s="155">
        <f t="shared" si="151"/>
        <v>0</v>
      </c>
      <c r="AI821" s="155">
        <f t="shared" si="151"/>
        <v>0</v>
      </c>
      <c r="AJ821" s="155">
        <f t="shared" si="151"/>
        <v>0</v>
      </c>
      <c r="AK821" s="155">
        <f t="shared" si="151"/>
        <v>0</v>
      </c>
    </row>
    <row r="822" spans="2:37" s="111" customFormat="1" x14ac:dyDescent="0.25">
      <c r="B822" s="150"/>
      <c r="D822" s="151" t="s">
        <v>645</v>
      </c>
      <c r="H822" s="111" t="s">
        <v>1015</v>
      </c>
      <c r="I822" s="152"/>
      <c r="J822" s="152"/>
      <c r="K822" s="152"/>
      <c r="L822" s="152"/>
      <c r="M822" s="152"/>
      <c r="N822" s="152"/>
      <c r="O822" s="152"/>
      <c r="P822" s="152">
        <f t="shared" ref="P822:AK822" si="152">SUM(P823:P824)</f>
        <v>123</v>
      </c>
      <c r="Q822" s="152">
        <f t="shared" si="152"/>
        <v>135</v>
      </c>
      <c r="R822" s="152">
        <f t="shared" si="152"/>
        <v>137</v>
      </c>
      <c r="S822" s="152">
        <f t="shared" si="152"/>
        <v>141</v>
      </c>
      <c r="T822" s="152">
        <f t="shared" si="152"/>
        <v>144</v>
      </c>
      <c r="U822" s="152">
        <f t="shared" si="152"/>
        <v>151</v>
      </c>
      <c r="V822" s="152">
        <f t="shared" si="152"/>
        <v>155</v>
      </c>
      <c r="W822" s="152">
        <f t="shared" si="152"/>
        <v>161</v>
      </c>
      <c r="X822" s="152">
        <f t="shared" si="152"/>
        <v>169</v>
      </c>
      <c r="Y822" s="152">
        <f t="shared" si="152"/>
        <v>173</v>
      </c>
      <c r="Z822" s="152">
        <f t="shared" si="152"/>
        <v>177</v>
      </c>
      <c r="AA822" s="152">
        <f t="shared" si="152"/>
        <v>177</v>
      </c>
      <c r="AB822" s="152">
        <f t="shared" si="152"/>
        <v>0</v>
      </c>
      <c r="AC822" s="152">
        <f t="shared" si="152"/>
        <v>0</v>
      </c>
      <c r="AD822" s="152">
        <f t="shared" si="152"/>
        <v>0</v>
      </c>
      <c r="AE822" s="152">
        <f t="shared" si="152"/>
        <v>0</v>
      </c>
      <c r="AF822" s="152">
        <f t="shared" si="152"/>
        <v>0</v>
      </c>
      <c r="AG822" s="152">
        <f t="shared" si="152"/>
        <v>0</v>
      </c>
      <c r="AH822" s="152">
        <f t="shared" si="152"/>
        <v>0</v>
      </c>
      <c r="AI822" s="152">
        <f t="shared" si="152"/>
        <v>0</v>
      </c>
      <c r="AJ822" s="152">
        <f t="shared" si="152"/>
        <v>0</v>
      </c>
      <c r="AK822" s="152">
        <f t="shared" si="152"/>
        <v>0</v>
      </c>
    </row>
    <row r="823" spans="2:37" s="115" customFormat="1" x14ac:dyDescent="0.25">
      <c r="B823" s="149"/>
      <c r="E823" s="115" t="s">
        <v>647</v>
      </c>
      <c r="H823" s="115" t="s">
        <v>1015</v>
      </c>
      <c r="I823" s="153"/>
      <c r="J823" s="153"/>
      <c r="K823" s="153"/>
      <c r="L823" s="153"/>
      <c r="M823" s="153"/>
      <c r="N823" s="153"/>
      <c r="O823" s="153"/>
      <c r="P823" s="153">
        <v>57</v>
      </c>
      <c r="Q823" s="153">
        <v>58</v>
      </c>
      <c r="R823" s="153">
        <v>59</v>
      </c>
      <c r="S823" s="153">
        <v>60</v>
      </c>
      <c r="T823" s="153">
        <v>63</v>
      </c>
      <c r="U823" s="153">
        <v>69</v>
      </c>
      <c r="V823" s="153">
        <v>71</v>
      </c>
      <c r="W823" s="153">
        <v>77</v>
      </c>
      <c r="X823" s="153">
        <v>81</v>
      </c>
      <c r="Y823" s="153">
        <v>85</v>
      </c>
      <c r="Z823" s="153">
        <v>89</v>
      </c>
      <c r="AA823" s="198">
        <v>89</v>
      </c>
      <c r="AB823" s="153"/>
      <c r="AC823" s="153"/>
      <c r="AD823" s="153"/>
      <c r="AE823" s="153"/>
      <c r="AF823" s="153"/>
      <c r="AG823" s="153"/>
      <c r="AH823" s="153"/>
      <c r="AI823" s="153"/>
      <c r="AJ823" s="153"/>
      <c r="AK823" s="153"/>
    </row>
    <row r="824" spans="2:37" s="115" customFormat="1" x14ac:dyDescent="0.25">
      <c r="B824" s="149"/>
      <c r="E824" s="115" t="s">
        <v>652</v>
      </c>
      <c r="H824" s="115" t="s">
        <v>1015</v>
      </c>
      <c r="I824" s="153"/>
      <c r="J824" s="153"/>
      <c r="K824" s="153"/>
      <c r="L824" s="153"/>
      <c r="M824" s="153"/>
      <c r="N824" s="153"/>
      <c r="O824" s="153"/>
      <c r="P824" s="153">
        <v>66</v>
      </c>
      <c r="Q824" s="153">
        <v>77</v>
      </c>
      <c r="R824" s="153">
        <v>78</v>
      </c>
      <c r="S824" s="153">
        <v>81</v>
      </c>
      <c r="T824" s="153">
        <v>81</v>
      </c>
      <c r="U824" s="153">
        <v>82</v>
      </c>
      <c r="V824" s="153">
        <v>84</v>
      </c>
      <c r="W824" s="153">
        <v>84</v>
      </c>
      <c r="X824" s="153">
        <v>88</v>
      </c>
      <c r="Y824" s="153">
        <v>88</v>
      </c>
      <c r="Z824" s="153">
        <v>88</v>
      </c>
      <c r="AA824" s="198">
        <v>88</v>
      </c>
      <c r="AB824" s="153"/>
      <c r="AC824" s="153"/>
      <c r="AD824" s="153"/>
      <c r="AE824" s="153"/>
      <c r="AF824" s="153"/>
      <c r="AG824" s="153"/>
      <c r="AH824" s="153"/>
      <c r="AI824" s="153"/>
      <c r="AJ824" s="153"/>
      <c r="AK824" s="153"/>
    </row>
    <row r="825" spans="2:37" s="111" customFormat="1" x14ac:dyDescent="0.25">
      <c r="B825" s="150"/>
      <c r="D825" s="151" t="s">
        <v>646</v>
      </c>
      <c r="H825" s="111" t="s">
        <v>1015</v>
      </c>
      <c r="I825" s="152"/>
      <c r="J825" s="152"/>
      <c r="K825" s="152"/>
      <c r="L825" s="152"/>
      <c r="M825" s="152"/>
      <c r="N825" s="152"/>
      <c r="O825" s="152"/>
      <c r="P825" s="152">
        <f t="shared" ref="P825:AK825" si="153">SUM(P826:P830)</f>
        <v>629</v>
      </c>
      <c r="Q825" s="152">
        <f t="shared" si="153"/>
        <v>649</v>
      </c>
      <c r="R825" s="152">
        <f t="shared" si="153"/>
        <v>649</v>
      </c>
      <c r="S825" s="152">
        <f t="shared" si="153"/>
        <v>702</v>
      </c>
      <c r="T825" s="152">
        <f t="shared" si="153"/>
        <v>729</v>
      </c>
      <c r="U825" s="152">
        <f t="shared" si="153"/>
        <v>738</v>
      </c>
      <c r="V825" s="152">
        <f t="shared" si="153"/>
        <v>811</v>
      </c>
      <c r="W825" s="152">
        <f t="shared" si="153"/>
        <v>873</v>
      </c>
      <c r="X825" s="152">
        <f t="shared" si="153"/>
        <v>883</v>
      </c>
      <c r="Y825" s="152">
        <f t="shared" si="153"/>
        <v>963</v>
      </c>
      <c r="Z825" s="152">
        <f t="shared" si="153"/>
        <v>1005</v>
      </c>
      <c r="AA825" s="152">
        <f t="shared" si="153"/>
        <v>1079</v>
      </c>
      <c r="AB825" s="152">
        <f t="shared" si="153"/>
        <v>0</v>
      </c>
      <c r="AC825" s="152">
        <f t="shared" si="153"/>
        <v>0</v>
      </c>
      <c r="AD825" s="152">
        <f t="shared" si="153"/>
        <v>0</v>
      </c>
      <c r="AE825" s="152">
        <f t="shared" si="153"/>
        <v>0</v>
      </c>
      <c r="AF825" s="152">
        <f t="shared" si="153"/>
        <v>0</v>
      </c>
      <c r="AG825" s="152">
        <f t="shared" si="153"/>
        <v>0</v>
      </c>
      <c r="AH825" s="152">
        <f t="shared" si="153"/>
        <v>0</v>
      </c>
      <c r="AI825" s="152">
        <f t="shared" si="153"/>
        <v>0</v>
      </c>
      <c r="AJ825" s="152">
        <f t="shared" si="153"/>
        <v>0</v>
      </c>
      <c r="AK825" s="152">
        <f t="shared" si="153"/>
        <v>0</v>
      </c>
    </row>
    <row r="826" spans="2:37" s="115" customFormat="1" x14ac:dyDescent="0.25">
      <c r="B826" s="149"/>
      <c r="E826" s="154" t="s">
        <v>1966</v>
      </c>
      <c r="H826" s="115" t="s">
        <v>1015</v>
      </c>
      <c r="I826" s="153"/>
      <c r="J826" s="153"/>
      <c r="K826" s="153"/>
      <c r="L826" s="153"/>
      <c r="M826" s="153"/>
      <c r="N826" s="153"/>
      <c r="O826" s="153"/>
      <c r="P826" s="153">
        <v>308</v>
      </c>
      <c r="Q826" s="153">
        <v>311</v>
      </c>
      <c r="R826" s="153">
        <v>311</v>
      </c>
      <c r="S826" s="153">
        <v>351</v>
      </c>
      <c r="T826" s="153">
        <v>360</v>
      </c>
      <c r="U826" s="153">
        <v>369</v>
      </c>
      <c r="V826" s="153">
        <v>380</v>
      </c>
      <c r="W826" s="153">
        <v>404</v>
      </c>
      <c r="X826" s="153">
        <v>404</v>
      </c>
      <c r="Y826" s="153">
        <v>414</v>
      </c>
      <c r="Z826" s="153">
        <v>394</v>
      </c>
      <c r="AA826" s="153">
        <v>385</v>
      </c>
      <c r="AB826" s="153"/>
      <c r="AC826" s="153"/>
      <c r="AD826" s="153"/>
      <c r="AE826" s="153"/>
      <c r="AF826" s="153"/>
      <c r="AG826" s="153"/>
      <c r="AH826" s="153"/>
      <c r="AI826" s="153"/>
      <c r="AJ826" s="153"/>
      <c r="AK826" s="153"/>
    </row>
    <row r="827" spans="2:37" s="115" customFormat="1" x14ac:dyDescent="0.25">
      <c r="B827" s="149"/>
      <c r="E827" s="154" t="s">
        <v>1965</v>
      </c>
      <c r="H827" s="115" t="s">
        <v>1015</v>
      </c>
      <c r="I827" s="153"/>
      <c r="J827" s="153"/>
      <c r="K827" s="153"/>
      <c r="L827" s="153"/>
      <c r="M827" s="153"/>
      <c r="N827" s="153"/>
      <c r="O827" s="153"/>
      <c r="P827" s="153">
        <v>207</v>
      </c>
      <c r="Q827" s="153">
        <v>224</v>
      </c>
      <c r="R827" s="153">
        <v>224</v>
      </c>
      <c r="S827" s="153">
        <v>224</v>
      </c>
      <c r="T827" s="153">
        <v>236</v>
      </c>
      <c r="U827" s="153">
        <v>236</v>
      </c>
      <c r="V827" s="153">
        <v>283</v>
      </c>
      <c r="W827" s="153">
        <v>321</v>
      </c>
      <c r="X827" s="153">
        <v>329</v>
      </c>
      <c r="Y827" s="153">
        <v>363</v>
      </c>
      <c r="Z827" s="153">
        <v>425</v>
      </c>
      <c r="AA827" s="198">
        <v>500</v>
      </c>
      <c r="AB827" s="153"/>
      <c r="AC827" s="153"/>
      <c r="AD827" s="153"/>
      <c r="AE827" s="153"/>
      <c r="AF827" s="153"/>
      <c r="AG827" s="153"/>
      <c r="AH827" s="153"/>
      <c r="AI827" s="153"/>
      <c r="AJ827" s="153"/>
      <c r="AK827" s="153"/>
    </row>
    <row r="828" spans="2:37" s="115" customFormat="1" x14ac:dyDescent="0.25">
      <c r="B828" s="149"/>
      <c r="D828" s="154"/>
      <c r="E828" s="115" t="s">
        <v>649</v>
      </c>
      <c r="H828" s="115" t="s">
        <v>1015</v>
      </c>
      <c r="I828" s="153">
        <v>53</v>
      </c>
      <c r="J828" s="153">
        <v>54</v>
      </c>
      <c r="K828" s="153">
        <v>84</v>
      </c>
      <c r="L828" s="153">
        <v>84</v>
      </c>
      <c r="M828" s="153">
        <v>84</v>
      </c>
      <c r="N828" s="153">
        <v>84</v>
      </c>
      <c r="O828" s="153">
        <v>96</v>
      </c>
      <c r="P828" s="153">
        <v>96</v>
      </c>
      <c r="Q828" s="153">
        <v>96</v>
      </c>
      <c r="R828" s="153">
        <v>96</v>
      </c>
      <c r="S828" s="153">
        <v>104</v>
      </c>
      <c r="T828" s="153">
        <v>104</v>
      </c>
      <c r="U828" s="153">
        <v>104</v>
      </c>
      <c r="V828" s="153">
        <v>115</v>
      </c>
      <c r="W828" s="153">
        <v>115</v>
      </c>
      <c r="X828" s="153">
        <v>115</v>
      </c>
      <c r="Y828" s="153">
        <v>115</v>
      </c>
      <c r="Z828" s="153">
        <v>115</v>
      </c>
      <c r="AA828" s="153">
        <v>115</v>
      </c>
      <c r="AB828" s="153"/>
      <c r="AC828" s="153"/>
      <c r="AD828" s="153"/>
      <c r="AE828" s="153"/>
      <c r="AF828" s="153"/>
      <c r="AG828" s="153"/>
      <c r="AH828" s="153"/>
      <c r="AI828" s="153"/>
      <c r="AJ828" s="153"/>
      <c r="AK828" s="153"/>
    </row>
    <row r="829" spans="2:37" s="115" customFormat="1" x14ac:dyDescent="0.25">
      <c r="B829" s="149"/>
      <c r="C829" s="154"/>
      <c r="D829" s="154"/>
      <c r="E829" s="115" t="s">
        <v>650</v>
      </c>
      <c r="H829" s="115" t="s">
        <v>1015</v>
      </c>
      <c r="I829" s="153">
        <v>0</v>
      </c>
      <c r="J829" s="153">
        <v>0</v>
      </c>
      <c r="K829" s="153">
        <v>0</v>
      </c>
      <c r="L829" s="153">
        <v>0</v>
      </c>
      <c r="M829" s="153">
        <v>0</v>
      </c>
      <c r="N829" s="153">
        <v>0</v>
      </c>
      <c r="O829" s="153">
        <v>0</v>
      </c>
      <c r="P829" s="153">
        <v>0</v>
      </c>
      <c r="Q829" s="153">
        <v>0</v>
      </c>
      <c r="R829" s="153">
        <v>0</v>
      </c>
      <c r="S829" s="153">
        <v>0</v>
      </c>
      <c r="T829" s="153">
        <v>2</v>
      </c>
      <c r="U829" s="153">
        <v>2</v>
      </c>
      <c r="V829" s="153">
        <v>2</v>
      </c>
      <c r="W829" s="153">
        <v>2</v>
      </c>
      <c r="X829" s="153">
        <v>2</v>
      </c>
      <c r="Y829" s="153">
        <v>30</v>
      </c>
      <c r="Z829" s="153">
        <v>30</v>
      </c>
      <c r="AA829" s="153">
        <v>30</v>
      </c>
      <c r="AB829" s="153"/>
      <c r="AC829" s="153"/>
      <c r="AD829" s="153"/>
      <c r="AE829" s="153"/>
      <c r="AF829" s="153"/>
      <c r="AG829" s="153"/>
      <c r="AH829" s="153"/>
      <c r="AI829" s="153"/>
      <c r="AJ829" s="153"/>
      <c r="AK829" s="153"/>
    </row>
    <row r="830" spans="2:37" s="115" customFormat="1" x14ac:dyDescent="0.25">
      <c r="B830" s="149"/>
      <c r="C830" s="154"/>
      <c r="E830" s="115" t="s">
        <v>651</v>
      </c>
      <c r="H830" s="115" t="s">
        <v>1015</v>
      </c>
      <c r="I830" s="153"/>
      <c r="J830" s="153"/>
      <c r="K830" s="153"/>
      <c r="L830" s="153"/>
      <c r="M830" s="153"/>
      <c r="N830" s="153"/>
      <c r="O830" s="153"/>
      <c r="P830" s="153">
        <v>18</v>
      </c>
      <c r="Q830" s="153">
        <v>18</v>
      </c>
      <c r="R830" s="153">
        <v>18</v>
      </c>
      <c r="S830" s="153">
        <v>23</v>
      </c>
      <c r="T830" s="153">
        <v>27</v>
      </c>
      <c r="U830" s="153">
        <v>27</v>
      </c>
      <c r="V830" s="153">
        <v>31</v>
      </c>
      <c r="W830" s="153">
        <v>31</v>
      </c>
      <c r="X830" s="153">
        <v>33</v>
      </c>
      <c r="Y830" s="153">
        <v>41</v>
      </c>
      <c r="Z830" s="153">
        <v>41</v>
      </c>
      <c r="AA830" s="153">
        <v>49</v>
      </c>
      <c r="AB830" s="153"/>
      <c r="AC830" s="153"/>
      <c r="AD830" s="153"/>
      <c r="AE830" s="153"/>
      <c r="AF830" s="153"/>
      <c r="AG830" s="153"/>
      <c r="AH830" s="153"/>
      <c r="AI830" s="153"/>
      <c r="AJ830" s="153"/>
      <c r="AK830" s="153"/>
    </row>
    <row r="831" spans="2:37" s="111" customFormat="1" x14ac:dyDescent="0.25">
      <c r="B831" s="150"/>
      <c r="C831" s="151"/>
      <c r="D831" s="151" t="s">
        <v>643</v>
      </c>
      <c r="H831" s="111" t="s">
        <v>1015</v>
      </c>
      <c r="I831" s="152"/>
      <c r="J831" s="152"/>
      <c r="K831" s="152"/>
      <c r="L831" s="152"/>
      <c r="M831" s="152"/>
      <c r="N831" s="152"/>
      <c r="O831" s="152"/>
      <c r="P831" s="152">
        <f t="shared" ref="P831:AK831" si="154">SUM(P826,P828,P830)</f>
        <v>422</v>
      </c>
      <c r="Q831" s="152">
        <f t="shared" si="154"/>
        <v>425</v>
      </c>
      <c r="R831" s="152">
        <f t="shared" si="154"/>
        <v>425</v>
      </c>
      <c r="S831" s="152">
        <f t="shared" si="154"/>
        <v>478</v>
      </c>
      <c r="T831" s="152">
        <f t="shared" si="154"/>
        <v>491</v>
      </c>
      <c r="U831" s="152">
        <f t="shared" si="154"/>
        <v>500</v>
      </c>
      <c r="V831" s="152">
        <f t="shared" si="154"/>
        <v>526</v>
      </c>
      <c r="W831" s="152">
        <f t="shared" si="154"/>
        <v>550</v>
      </c>
      <c r="X831" s="152">
        <f t="shared" si="154"/>
        <v>552</v>
      </c>
      <c r="Y831" s="152">
        <f t="shared" si="154"/>
        <v>570</v>
      </c>
      <c r="Z831" s="152">
        <f t="shared" si="154"/>
        <v>550</v>
      </c>
      <c r="AA831" s="152">
        <f t="shared" si="154"/>
        <v>549</v>
      </c>
      <c r="AB831" s="152">
        <f t="shared" si="154"/>
        <v>0</v>
      </c>
      <c r="AC831" s="152">
        <f t="shared" si="154"/>
        <v>0</v>
      </c>
      <c r="AD831" s="152">
        <f t="shared" si="154"/>
        <v>0</v>
      </c>
      <c r="AE831" s="152">
        <f t="shared" si="154"/>
        <v>0</v>
      </c>
      <c r="AF831" s="152">
        <f t="shared" si="154"/>
        <v>0</v>
      </c>
      <c r="AG831" s="152">
        <f t="shared" si="154"/>
        <v>0</v>
      </c>
      <c r="AH831" s="152">
        <f t="shared" si="154"/>
        <v>0</v>
      </c>
      <c r="AI831" s="152">
        <f t="shared" si="154"/>
        <v>0</v>
      </c>
      <c r="AJ831" s="152">
        <f t="shared" si="154"/>
        <v>0</v>
      </c>
      <c r="AK831" s="152">
        <f t="shared" si="154"/>
        <v>0</v>
      </c>
    </row>
    <row r="832" spans="2:37" s="111" customFormat="1" x14ac:dyDescent="0.25">
      <c r="B832" s="150"/>
      <c r="C832" s="151"/>
      <c r="D832" s="151" t="s">
        <v>644</v>
      </c>
      <c r="H832" s="111" t="s">
        <v>1015</v>
      </c>
      <c r="I832" s="152"/>
      <c r="J832" s="152"/>
      <c r="K832" s="152"/>
      <c r="L832" s="152"/>
      <c r="M832" s="152"/>
      <c r="N832" s="152"/>
      <c r="O832" s="152"/>
      <c r="P832" s="152">
        <f t="shared" ref="P832:AK832" si="155">SUM(P823:P824,P827,P829)</f>
        <v>330</v>
      </c>
      <c r="Q832" s="152">
        <f t="shared" si="155"/>
        <v>359</v>
      </c>
      <c r="R832" s="152">
        <f t="shared" si="155"/>
        <v>361</v>
      </c>
      <c r="S832" s="152">
        <f t="shared" si="155"/>
        <v>365</v>
      </c>
      <c r="T832" s="152">
        <f t="shared" si="155"/>
        <v>382</v>
      </c>
      <c r="U832" s="152">
        <f t="shared" si="155"/>
        <v>389</v>
      </c>
      <c r="V832" s="152">
        <f t="shared" si="155"/>
        <v>440</v>
      </c>
      <c r="W832" s="152">
        <f t="shared" si="155"/>
        <v>484</v>
      </c>
      <c r="X832" s="152">
        <f t="shared" si="155"/>
        <v>500</v>
      </c>
      <c r="Y832" s="152">
        <f t="shared" si="155"/>
        <v>566</v>
      </c>
      <c r="Z832" s="152">
        <f t="shared" si="155"/>
        <v>632</v>
      </c>
      <c r="AA832" s="152">
        <f t="shared" si="155"/>
        <v>707</v>
      </c>
      <c r="AB832" s="152">
        <f t="shared" si="155"/>
        <v>0</v>
      </c>
      <c r="AC832" s="152">
        <f t="shared" si="155"/>
        <v>0</v>
      </c>
      <c r="AD832" s="152">
        <f t="shared" si="155"/>
        <v>0</v>
      </c>
      <c r="AE832" s="152">
        <f t="shared" si="155"/>
        <v>0</v>
      </c>
      <c r="AF832" s="152">
        <f t="shared" si="155"/>
        <v>0</v>
      </c>
      <c r="AG832" s="152">
        <f t="shared" si="155"/>
        <v>0</v>
      </c>
      <c r="AH832" s="152">
        <f t="shared" si="155"/>
        <v>0</v>
      </c>
      <c r="AI832" s="152">
        <f t="shared" si="155"/>
        <v>0</v>
      </c>
      <c r="AJ832" s="152">
        <f t="shared" si="155"/>
        <v>0</v>
      </c>
      <c r="AK832" s="152">
        <f t="shared" si="155"/>
        <v>0</v>
      </c>
    </row>
    <row r="833" spans="1:37" s="3" customFormat="1" x14ac:dyDescent="0.25">
      <c r="B833" s="4"/>
      <c r="J833" s="73"/>
      <c r="K833" s="73"/>
      <c r="L833" s="73"/>
      <c r="M833" s="73"/>
      <c r="N833" s="73"/>
    </row>
    <row r="834" spans="1:37" s="37" customFormat="1" ht="17.25" x14ac:dyDescent="0.3">
      <c r="A834" s="37" t="s">
        <v>402</v>
      </c>
    </row>
    <row r="835" spans="1:37" x14ac:dyDescent="0.25">
      <c r="B835" s="64" t="s">
        <v>31</v>
      </c>
      <c r="C835" t="s">
        <v>1964</v>
      </c>
    </row>
    <row r="836" spans="1:37" x14ac:dyDescent="0.25">
      <c r="B836" s="64"/>
      <c r="D836" t="s">
        <v>1492</v>
      </c>
    </row>
    <row r="837" spans="1:37" s="223" customFormat="1" x14ac:dyDescent="0.25">
      <c r="B837" s="64"/>
      <c r="C837" s="223" t="s">
        <v>352</v>
      </c>
    </row>
    <row r="838" spans="1:37" x14ac:dyDescent="0.25">
      <c r="B838" s="64" t="s">
        <v>32</v>
      </c>
      <c r="C838" s="195" t="s">
        <v>402</v>
      </c>
    </row>
    <row r="839" spans="1:37" x14ac:dyDescent="0.25">
      <c r="B839" s="64" t="s">
        <v>331</v>
      </c>
      <c r="C839" s="5" t="s">
        <v>1496</v>
      </c>
    </row>
    <row r="840" spans="1:37" x14ac:dyDescent="0.25">
      <c r="B840" s="64" t="s">
        <v>332</v>
      </c>
      <c r="C840" s="2" t="s">
        <v>1493</v>
      </c>
    </row>
    <row r="841" spans="1:37" s="223" customFormat="1" x14ac:dyDescent="0.25">
      <c r="B841" s="64"/>
      <c r="C841" s="2" t="s">
        <v>1494</v>
      </c>
    </row>
    <row r="842" spans="1:37" s="34" customFormat="1" ht="15.75" thickBot="1" x14ac:dyDescent="0.3">
      <c r="B842" s="65" t="s">
        <v>334</v>
      </c>
      <c r="C842" s="34" t="s">
        <v>1495</v>
      </c>
    </row>
    <row r="843" spans="1:37" s="62" customFormat="1" ht="15.75" thickTop="1" x14ac:dyDescent="0.25">
      <c r="B843" s="149" t="s">
        <v>34</v>
      </c>
      <c r="C843" s="62" t="s">
        <v>1053</v>
      </c>
      <c r="I843" s="155"/>
      <c r="J843" s="155"/>
      <c r="K843" s="155"/>
      <c r="L843" s="155"/>
      <c r="M843" s="155"/>
      <c r="N843" s="155"/>
      <c r="O843" s="155"/>
      <c r="P843" s="155"/>
      <c r="Q843" s="155"/>
      <c r="R843" s="155"/>
      <c r="S843" s="155"/>
      <c r="T843" s="155"/>
      <c r="U843" s="155"/>
      <c r="V843" s="155"/>
      <c r="W843" s="155"/>
      <c r="X843" s="155"/>
      <c r="Y843" s="155"/>
      <c r="Z843" s="155"/>
      <c r="AA843" s="155"/>
      <c r="AB843" s="155"/>
      <c r="AC843" s="155"/>
      <c r="AD843" s="155"/>
      <c r="AE843" s="155"/>
      <c r="AF843" s="155"/>
      <c r="AG843" s="155"/>
      <c r="AH843" s="155"/>
      <c r="AI843" s="155"/>
      <c r="AJ843" s="155"/>
      <c r="AK843" s="155"/>
    </row>
    <row r="844" spans="1:37" s="62" customFormat="1" x14ac:dyDescent="0.25">
      <c r="B844" s="149"/>
      <c r="D844" s="62" t="s">
        <v>1064</v>
      </c>
      <c r="H844" s="62" t="s">
        <v>1015</v>
      </c>
      <c r="I844" s="155"/>
      <c r="J844" s="155"/>
      <c r="K844" s="155"/>
      <c r="L844" s="155"/>
      <c r="M844" s="155"/>
      <c r="N844" s="155"/>
      <c r="O844" s="155"/>
      <c r="P844" s="155"/>
      <c r="Q844" s="155"/>
      <c r="R844" s="155"/>
      <c r="S844" s="155"/>
      <c r="T844" s="155"/>
      <c r="U844" s="155"/>
      <c r="V844" s="155"/>
      <c r="W844" s="155">
        <f>SUM(W855,W865,W875)</f>
        <v>187</v>
      </c>
      <c r="X844" s="155">
        <f t="shared" ref="X844:AK844" si="156">SUM(X855,X865,X875)</f>
        <v>244</v>
      </c>
      <c r="Y844" s="155">
        <f t="shared" si="156"/>
        <v>183</v>
      </c>
      <c r="Z844" s="155">
        <f t="shared" si="156"/>
        <v>202</v>
      </c>
      <c r="AA844" s="155">
        <f t="shared" si="156"/>
        <v>271</v>
      </c>
      <c r="AB844" s="155">
        <f t="shared" si="156"/>
        <v>0</v>
      </c>
      <c r="AC844" s="155">
        <f t="shared" si="156"/>
        <v>0</v>
      </c>
      <c r="AD844" s="155">
        <f t="shared" si="156"/>
        <v>0</v>
      </c>
      <c r="AE844" s="155">
        <f t="shared" si="156"/>
        <v>0</v>
      </c>
      <c r="AF844" s="155">
        <f t="shared" si="156"/>
        <v>0</v>
      </c>
      <c r="AG844" s="155">
        <f t="shared" si="156"/>
        <v>0</v>
      </c>
      <c r="AH844" s="155">
        <f t="shared" si="156"/>
        <v>0</v>
      </c>
      <c r="AI844" s="155">
        <f t="shared" si="156"/>
        <v>0</v>
      </c>
      <c r="AJ844" s="155">
        <f t="shared" si="156"/>
        <v>0</v>
      </c>
      <c r="AK844" s="155">
        <f t="shared" si="156"/>
        <v>0</v>
      </c>
    </row>
    <row r="845" spans="1:37" s="111" customFormat="1" x14ac:dyDescent="0.25">
      <c r="B845" s="150"/>
      <c r="E845" s="151" t="s">
        <v>1061</v>
      </c>
      <c r="H845" s="111" t="s">
        <v>1015</v>
      </c>
      <c r="I845" s="152"/>
      <c r="J845" s="152"/>
      <c r="K845" s="152"/>
      <c r="L845" s="152"/>
      <c r="M845" s="152"/>
      <c r="N845" s="152"/>
      <c r="O845" s="152"/>
      <c r="P845" s="152"/>
      <c r="Q845" s="152"/>
      <c r="R845" s="152"/>
      <c r="S845" s="152"/>
      <c r="T845" s="152"/>
      <c r="U845" s="152"/>
      <c r="V845" s="152"/>
      <c r="W845" s="152">
        <f t="shared" ref="W845:AK845" si="157">SUM(W847:W852)</f>
        <v>0</v>
      </c>
      <c r="X845" s="152">
        <f t="shared" si="157"/>
        <v>0</v>
      </c>
      <c r="Y845" s="152">
        <f t="shared" si="157"/>
        <v>0</v>
      </c>
      <c r="Z845" s="152">
        <f t="shared" si="157"/>
        <v>79</v>
      </c>
      <c r="AA845" s="152">
        <f t="shared" si="157"/>
        <v>3</v>
      </c>
      <c r="AB845" s="152">
        <f t="shared" si="157"/>
        <v>0</v>
      </c>
      <c r="AC845" s="152">
        <f t="shared" si="157"/>
        <v>0</v>
      </c>
      <c r="AD845" s="152">
        <f t="shared" si="157"/>
        <v>0</v>
      </c>
      <c r="AE845" s="152">
        <f t="shared" si="157"/>
        <v>0</v>
      </c>
      <c r="AF845" s="152">
        <f t="shared" si="157"/>
        <v>0</v>
      </c>
      <c r="AG845" s="152">
        <f t="shared" si="157"/>
        <v>0</v>
      </c>
      <c r="AH845" s="152">
        <f t="shared" si="157"/>
        <v>0</v>
      </c>
      <c r="AI845" s="152">
        <f t="shared" si="157"/>
        <v>0</v>
      </c>
      <c r="AJ845" s="152">
        <f t="shared" si="157"/>
        <v>0</v>
      </c>
      <c r="AK845" s="152">
        <f t="shared" si="157"/>
        <v>0</v>
      </c>
    </row>
    <row r="846" spans="1:37" s="115" customFormat="1" x14ac:dyDescent="0.25">
      <c r="B846" s="149"/>
      <c r="F846" s="115" t="s">
        <v>1049</v>
      </c>
      <c r="H846" s="115" t="s">
        <v>1015</v>
      </c>
      <c r="I846" s="153"/>
      <c r="J846" s="153"/>
      <c r="K846" s="153"/>
      <c r="L846" s="153"/>
      <c r="M846" s="153"/>
      <c r="N846" s="153"/>
      <c r="O846" s="153"/>
      <c r="P846" s="153"/>
      <c r="Q846" s="153"/>
      <c r="R846" s="153"/>
      <c r="S846" s="153"/>
      <c r="T846" s="153"/>
      <c r="U846" s="153"/>
      <c r="V846" s="153"/>
      <c r="W846" s="153">
        <f t="shared" ref="W846:AK846" si="158">SUM(W847:W849)</f>
        <v>0</v>
      </c>
      <c r="X846" s="153">
        <f t="shared" si="158"/>
        <v>0</v>
      </c>
      <c r="Y846" s="153">
        <f t="shared" si="158"/>
        <v>0</v>
      </c>
      <c r="Z846" s="153">
        <f t="shared" si="158"/>
        <v>28</v>
      </c>
      <c r="AA846" s="153">
        <f t="shared" si="158"/>
        <v>1</v>
      </c>
      <c r="AB846" s="153">
        <f t="shared" si="158"/>
        <v>0</v>
      </c>
      <c r="AC846" s="153">
        <f t="shared" si="158"/>
        <v>0</v>
      </c>
      <c r="AD846" s="153">
        <f t="shared" si="158"/>
        <v>0</v>
      </c>
      <c r="AE846" s="153">
        <f t="shared" si="158"/>
        <v>0</v>
      </c>
      <c r="AF846" s="153">
        <f t="shared" si="158"/>
        <v>0</v>
      </c>
      <c r="AG846" s="153">
        <f t="shared" si="158"/>
        <v>0</v>
      </c>
      <c r="AH846" s="153">
        <f t="shared" si="158"/>
        <v>0</v>
      </c>
      <c r="AI846" s="153">
        <f t="shared" si="158"/>
        <v>0</v>
      </c>
      <c r="AJ846" s="153">
        <f t="shared" si="158"/>
        <v>0</v>
      </c>
      <c r="AK846" s="153">
        <f t="shared" si="158"/>
        <v>0</v>
      </c>
    </row>
    <row r="847" spans="1:37" s="115" customFormat="1" x14ac:dyDescent="0.25">
      <c r="B847" s="149"/>
      <c r="G847" s="115" t="s">
        <v>1055</v>
      </c>
      <c r="H847" s="115" t="s">
        <v>1015</v>
      </c>
      <c r="I847" s="153"/>
      <c r="J847" s="153"/>
      <c r="K847" s="153"/>
      <c r="L847" s="153"/>
      <c r="M847" s="153"/>
      <c r="N847" s="153"/>
      <c r="O847" s="153"/>
      <c r="P847" s="153"/>
      <c r="Q847" s="153"/>
      <c r="R847" s="153"/>
      <c r="S847" s="153"/>
      <c r="T847" s="153"/>
      <c r="U847" s="153"/>
      <c r="V847" s="153"/>
      <c r="W847" s="153"/>
      <c r="X847" s="153"/>
      <c r="Y847" s="153"/>
      <c r="Z847" s="153">
        <v>0</v>
      </c>
      <c r="AA847" s="153">
        <v>0</v>
      </c>
      <c r="AB847" s="153"/>
      <c r="AC847" s="153"/>
      <c r="AD847" s="153"/>
      <c r="AE847" s="153"/>
      <c r="AF847" s="153"/>
      <c r="AG847" s="153"/>
      <c r="AH847" s="153"/>
      <c r="AI847" s="153"/>
      <c r="AJ847" s="153"/>
      <c r="AK847" s="153"/>
    </row>
    <row r="848" spans="1:37" s="115" customFormat="1" x14ac:dyDescent="0.25">
      <c r="B848" s="149"/>
      <c r="G848" s="115" t="s">
        <v>1056</v>
      </c>
      <c r="H848" s="115" t="s">
        <v>1015</v>
      </c>
      <c r="I848" s="153"/>
      <c r="J848" s="153"/>
      <c r="K848" s="153"/>
      <c r="L848" s="153"/>
      <c r="M848" s="153"/>
      <c r="N848" s="153"/>
      <c r="O848" s="153"/>
      <c r="P848" s="153"/>
      <c r="Q848" s="153"/>
      <c r="R848" s="153"/>
      <c r="S848" s="153"/>
      <c r="T848" s="153"/>
      <c r="U848" s="153"/>
      <c r="V848" s="153"/>
      <c r="W848" s="153"/>
      <c r="X848" s="153"/>
      <c r="Y848" s="153"/>
      <c r="Z848" s="153">
        <v>2</v>
      </c>
      <c r="AA848" s="153">
        <v>0</v>
      </c>
      <c r="AB848" s="153"/>
      <c r="AC848" s="153"/>
      <c r="AD848" s="153"/>
      <c r="AE848" s="153"/>
      <c r="AF848" s="153"/>
      <c r="AG848" s="153"/>
      <c r="AH848" s="153"/>
      <c r="AI848" s="153"/>
      <c r="AJ848" s="153"/>
      <c r="AK848" s="153"/>
    </row>
    <row r="849" spans="2:37" s="115" customFormat="1" x14ac:dyDescent="0.25">
      <c r="B849" s="149"/>
      <c r="G849" s="115" t="s">
        <v>1057</v>
      </c>
      <c r="H849" s="115" t="s">
        <v>1015</v>
      </c>
      <c r="I849" s="153"/>
      <c r="J849" s="153"/>
      <c r="K849" s="153"/>
      <c r="L849" s="153"/>
      <c r="M849" s="153"/>
      <c r="N849" s="153"/>
      <c r="O849" s="153"/>
      <c r="P849" s="153"/>
      <c r="Q849" s="153"/>
      <c r="R849" s="153"/>
      <c r="S849" s="153"/>
      <c r="T849" s="153"/>
      <c r="U849" s="153"/>
      <c r="V849" s="153"/>
      <c r="W849" s="153"/>
      <c r="X849" s="153"/>
      <c r="Y849" s="153"/>
      <c r="Z849" s="153">
        <v>26</v>
      </c>
      <c r="AA849" s="153">
        <v>1</v>
      </c>
      <c r="AB849" s="153"/>
      <c r="AC849" s="153"/>
      <c r="AD849" s="153"/>
      <c r="AE849" s="153"/>
      <c r="AF849" s="153"/>
      <c r="AG849" s="153"/>
      <c r="AH849" s="153"/>
      <c r="AI849" s="153"/>
      <c r="AJ849" s="153"/>
      <c r="AK849" s="153"/>
    </row>
    <row r="850" spans="2:37" s="115" customFormat="1" x14ac:dyDescent="0.25">
      <c r="B850" s="149"/>
      <c r="F850" s="115" t="s">
        <v>1048</v>
      </c>
      <c r="H850" s="115" t="s">
        <v>1015</v>
      </c>
      <c r="I850" s="153"/>
      <c r="J850" s="153"/>
      <c r="K850" s="153"/>
      <c r="L850" s="153"/>
      <c r="M850" s="153"/>
      <c r="N850" s="153"/>
      <c r="O850" s="153"/>
      <c r="P850" s="153"/>
      <c r="Q850" s="153"/>
      <c r="R850" s="153"/>
      <c r="S850" s="153"/>
      <c r="T850" s="153"/>
      <c r="U850" s="153"/>
      <c r="V850" s="153"/>
      <c r="W850" s="153"/>
      <c r="X850" s="153"/>
      <c r="Y850" s="153"/>
      <c r="Z850" s="153">
        <v>51</v>
      </c>
      <c r="AA850" s="153">
        <v>2</v>
      </c>
      <c r="AB850" s="153"/>
      <c r="AC850" s="153"/>
      <c r="AD850" s="153"/>
      <c r="AE850" s="153"/>
      <c r="AF850" s="153"/>
      <c r="AG850" s="153"/>
      <c r="AH850" s="153"/>
      <c r="AI850" s="153"/>
      <c r="AJ850" s="153"/>
      <c r="AK850" s="153"/>
    </row>
    <row r="851" spans="2:37" s="115" customFormat="1" x14ac:dyDescent="0.25">
      <c r="B851" s="149"/>
      <c r="F851" s="115" t="s">
        <v>1052</v>
      </c>
      <c r="H851" s="115" t="s">
        <v>1015</v>
      </c>
      <c r="I851" s="153"/>
      <c r="J851" s="153"/>
      <c r="K851" s="153"/>
      <c r="L851" s="153"/>
      <c r="M851" s="153"/>
      <c r="N851" s="153"/>
      <c r="O851" s="153"/>
      <c r="P851" s="153"/>
      <c r="Q851" s="153"/>
      <c r="R851" s="153"/>
      <c r="S851" s="153"/>
      <c r="T851" s="153"/>
      <c r="U851" s="153"/>
      <c r="V851" s="153"/>
      <c r="W851" s="153"/>
      <c r="X851" s="153"/>
      <c r="Y851" s="153"/>
      <c r="Z851" s="153">
        <v>0</v>
      </c>
      <c r="AA851" s="153"/>
      <c r="AB851" s="153"/>
      <c r="AC851" s="153"/>
      <c r="AD851" s="153"/>
      <c r="AE851" s="153"/>
      <c r="AF851" s="153"/>
      <c r="AG851" s="153"/>
      <c r="AH851" s="153"/>
      <c r="AI851" s="153"/>
      <c r="AJ851" s="153"/>
      <c r="AK851" s="153"/>
    </row>
    <row r="852" spans="2:37" s="115" customFormat="1" x14ac:dyDescent="0.25">
      <c r="B852" s="149"/>
      <c r="F852" s="115" t="s">
        <v>1050</v>
      </c>
      <c r="H852" s="115" t="s">
        <v>1015</v>
      </c>
      <c r="I852" s="153"/>
      <c r="J852" s="153"/>
      <c r="K852" s="153"/>
      <c r="L852" s="153"/>
      <c r="M852" s="153"/>
      <c r="N852" s="153"/>
      <c r="O852" s="153"/>
      <c r="P852" s="153"/>
      <c r="Q852" s="153"/>
      <c r="R852" s="153"/>
      <c r="S852" s="153"/>
      <c r="T852" s="153"/>
      <c r="U852" s="153"/>
      <c r="V852" s="153"/>
      <c r="W852" s="153"/>
      <c r="X852" s="153"/>
      <c r="Y852" s="153"/>
      <c r="Z852" s="153">
        <v>0</v>
      </c>
      <c r="AA852" s="153"/>
      <c r="AB852" s="153"/>
      <c r="AC852" s="153"/>
      <c r="AD852" s="153"/>
      <c r="AE852" s="153"/>
      <c r="AF852" s="153"/>
      <c r="AG852" s="153"/>
      <c r="AH852" s="153"/>
      <c r="AI852" s="153"/>
      <c r="AJ852" s="153"/>
      <c r="AK852" s="153"/>
    </row>
    <row r="853" spans="2:37" s="115" customFormat="1" x14ac:dyDescent="0.25">
      <c r="B853" s="149"/>
      <c r="F853" s="115" t="s">
        <v>1060</v>
      </c>
      <c r="H853" s="115" t="s">
        <v>1015</v>
      </c>
      <c r="I853" s="153"/>
      <c r="J853" s="153"/>
      <c r="K853" s="153"/>
      <c r="L853" s="153"/>
      <c r="M853" s="153"/>
      <c r="N853" s="153"/>
      <c r="O853" s="153"/>
      <c r="P853" s="153"/>
      <c r="Q853" s="153"/>
      <c r="R853" s="153"/>
      <c r="S853" s="153"/>
      <c r="T853" s="153"/>
      <c r="U853" s="153"/>
      <c r="V853" s="153"/>
      <c r="W853" s="153"/>
      <c r="X853" s="153"/>
      <c r="Y853" s="153"/>
      <c r="Z853" s="153">
        <v>7</v>
      </c>
      <c r="AA853" s="153">
        <v>7</v>
      </c>
      <c r="AB853" s="153"/>
      <c r="AC853" s="153"/>
      <c r="AD853" s="153"/>
      <c r="AE853" s="153"/>
      <c r="AF853" s="153"/>
      <c r="AG853" s="153"/>
      <c r="AH853" s="153"/>
      <c r="AI853" s="153"/>
      <c r="AJ853" s="153"/>
      <c r="AK853" s="153"/>
    </row>
    <row r="854" spans="2:37" s="115" customFormat="1" x14ac:dyDescent="0.25">
      <c r="B854" s="149"/>
      <c r="F854" s="115" t="s">
        <v>1062</v>
      </c>
      <c r="H854" s="115" t="s">
        <v>1015</v>
      </c>
      <c r="I854" s="153"/>
      <c r="J854" s="153"/>
      <c r="K854" s="153"/>
      <c r="L854" s="153"/>
      <c r="M854" s="153"/>
      <c r="N854" s="153"/>
      <c r="O854" s="153"/>
      <c r="P854" s="153"/>
      <c r="Q854" s="153"/>
      <c r="R854" s="153"/>
      <c r="S854" s="153"/>
      <c r="T854" s="153"/>
      <c r="U854" s="153"/>
      <c r="V854" s="153"/>
      <c r="W854" s="153"/>
      <c r="X854" s="153"/>
      <c r="Y854" s="153"/>
      <c r="Z854" s="153">
        <v>0</v>
      </c>
      <c r="AA854" s="153">
        <v>0</v>
      </c>
      <c r="AB854" s="153"/>
      <c r="AC854" s="153"/>
      <c r="AD854" s="153"/>
      <c r="AE854" s="153"/>
      <c r="AF854" s="153"/>
      <c r="AG854" s="153"/>
      <c r="AH854" s="153"/>
      <c r="AI854" s="153"/>
      <c r="AJ854" s="153"/>
      <c r="AK854" s="153"/>
    </row>
    <row r="855" spans="2:37" s="111" customFormat="1" x14ac:dyDescent="0.25">
      <c r="B855" s="150"/>
      <c r="E855" s="151" t="s">
        <v>1054</v>
      </c>
      <c r="H855" s="111" t="s">
        <v>1015</v>
      </c>
      <c r="I855" s="152"/>
      <c r="J855" s="152"/>
      <c r="K855" s="152"/>
      <c r="L855" s="152"/>
      <c r="M855" s="152"/>
      <c r="N855" s="152"/>
      <c r="O855" s="152"/>
      <c r="P855" s="152"/>
      <c r="Q855" s="152"/>
      <c r="R855" s="152"/>
      <c r="S855" s="152"/>
      <c r="T855" s="152"/>
      <c r="U855" s="152"/>
      <c r="V855" s="152"/>
      <c r="W855" s="152">
        <f t="shared" ref="W855:AK855" si="159">SUM(W857:W862)</f>
        <v>100</v>
      </c>
      <c r="X855" s="152">
        <f t="shared" si="159"/>
        <v>136</v>
      </c>
      <c r="Y855" s="152">
        <f t="shared" si="159"/>
        <v>24</v>
      </c>
      <c r="Z855" s="152">
        <f t="shared" si="159"/>
        <v>17</v>
      </c>
      <c r="AA855" s="152">
        <f t="shared" si="159"/>
        <v>0</v>
      </c>
      <c r="AB855" s="152">
        <f t="shared" si="159"/>
        <v>0</v>
      </c>
      <c r="AC855" s="152">
        <f t="shared" si="159"/>
        <v>0</v>
      </c>
      <c r="AD855" s="152">
        <f t="shared" si="159"/>
        <v>0</v>
      </c>
      <c r="AE855" s="152">
        <f t="shared" si="159"/>
        <v>0</v>
      </c>
      <c r="AF855" s="152">
        <f t="shared" si="159"/>
        <v>0</v>
      </c>
      <c r="AG855" s="152">
        <f t="shared" si="159"/>
        <v>0</v>
      </c>
      <c r="AH855" s="152">
        <f t="shared" si="159"/>
        <v>0</v>
      </c>
      <c r="AI855" s="152">
        <f t="shared" si="159"/>
        <v>0</v>
      </c>
      <c r="AJ855" s="152">
        <f t="shared" si="159"/>
        <v>0</v>
      </c>
      <c r="AK855" s="152">
        <f t="shared" si="159"/>
        <v>0</v>
      </c>
    </row>
    <row r="856" spans="2:37" s="115" customFormat="1" x14ac:dyDescent="0.25">
      <c r="B856" s="149"/>
      <c r="F856" s="115" t="s">
        <v>1049</v>
      </c>
      <c r="H856" s="115" t="s">
        <v>1015</v>
      </c>
      <c r="I856" s="153"/>
      <c r="J856" s="153"/>
      <c r="K856" s="153"/>
      <c r="L856" s="153"/>
      <c r="M856" s="153"/>
      <c r="N856" s="153"/>
      <c r="O856" s="153"/>
      <c r="P856" s="153"/>
      <c r="Q856" s="153"/>
      <c r="R856" s="153"/>
      <c r="S856" s="153"/>
      <c r="T856" s="153"/>
      <c r="U856" s="153"/>
      <c r="V856" s="153"/>
      <c r="W856" s="153">
        <f>SUM(W857:W859)</f>
        <v>27</v>
      </c>
      <c r="X856" s="153">
        <f t="shared" ref="X856:AK856" si="160">SUM(X857:X859)</f>
        <v>31</v>
      </c>
      <c r="Y856" s="153">
        <f t="shared" si="160"/>
        <v>0</v>
      </c>
      <c r="Z856" s="153">
        <f t="shared" si="160"/>
        <v>12</v>
      </c>
      <c r="AA856" s="153">
        <f t="shared" si="160"/>
        <v>0</v>
      </c>
      <c r="AB856" s="153">
        <f t="shared" si="160"/>
        <v>0</v>
      </c>
      <c r="AC856" s="153">
        <f t="shared" si="160"/>
        <v>0</v>
      </c>
      <c r="AD856" s="153">
        <f t="shared" si="160"/>
        <v>0</v>
      </c>
      <c r="AE856" s="153">
        <f t="shared" si="160"/>
        <v>0</v>
      </c>
      <c r="AF856" s="153">
        <f t="shared" si="160"/>
        <v>0</v>
      </c>
      <c r="AG856" s="153">
        <f t="shared" si="160"/>
        <v>0</v>
      </c>
      <c r="AH856" s="153">
        <f t="shared" si="160"/>
        <v>0</v>
      </c>
      <c r="AI856" s="153">
        <f t="shared" si="160"/>
        <v>0</v>
      </c>
      <c r="AJ856" s="153">
        <f t="shared" si="160"/>
        <v>0</v>
      </c>
      <c r="AK856" s="153">
        <f t="shared" si="160"/>
        <v>0</v>
      </c>
    </row>
    <row r="857" spans="2:37" s="115" customFormat="1" x14ac:dyDescent="0.25">
      <c r="B857" s="149"/>
      <c r="G857" s="115" t="s">
        <v>1055</v>
      </c>
      <c r="H857" s="115" t="s">
        <v>1015</v>
      </c>
      <c r="I857" s="153"/>
      <c r="J857" s="153"/>
      <c r="K857" s="153"/>
      <c r="L857" s="153"/>
      <c r="M857" s="153"/>
      <c r="N857" s="153"/>
      <c r="O857" s="153"/>
      <c r="P857" s="153"/>
      <c r="Q857" s="153"/>
      <c r="R857" s="153"/>
      <c r="S857" s="153"/>
      <c r="T857" s="153"/>
      <c r="U857" s="153"/>
      <c r="V857" s="153"/>
      <c r="W857" s="153">
        <v>0</v>
      </c>
      <c r="X857" s="153">
        <v>0</v>
      </c>
      <c r="Y857" s="153">
        <v>0</v>
      </c>
      <c r="Z857" s="153">
        <v>4</v>
      </c>
      <c r="AA857" s="198">
        <v>0</v>
      </c>
      <c r="AB857" s="153"/>
      <c r="AC857" s="153"/>
      <c r="AD857" s="153"/>
      <c r="AE857" s="153"/>
      <c r="AF857" s="153"/>
      <c r="AG857" s="153"/>
      <c r="AH857" s="153"/>
      <c r="AI857" s="153"/>
      <c r="AJ857" s="153"/>
      <c r="AK857" s="153"/>
    </row>
    <row r="858" spans="2:37" s="115" customFormat="1" x14ac:dyDescent="0.25">
      <c r="B858" s="149"/>
      <c r="G858" s="115" t="s">
        <v>1056</v>
      </c>
      <c r="H858" s="115" t="s">
        <v>1015</v>
      </c>
      <c r="I858" s="153"/>
      <c r="J858" s="153"/>
      <c r="K858" s="153"/>
      <c r="L858" s="153"/>
      <c r="M858" s="153"/>
      <c r="N858" s="153"/>
      <c r="O858" s="153"/>
      <c r="P858" s="153"/>
      <c r="Q858" s="153"/>
      <c r="R858" s="153"/>
      <c r="S858" s="153"/>
      <c r="T858" s="153"/>
      <c r="U858" s="153"/>
      <c r="V858" s="153"/>
      <c r="W858" s="153">
        <v>0</v>
      </c>
      <c r="X858" s="153">
        <v>0</v>
      </c>
      <c r="Y858" s="153">
        <v>0</v>
      </c>
      <c r="Z858" s="153">
        <v>2</v>
      </c>
      <c r="AA858" s="198">
        <v>0</v>
      </c>
      <c r="AB858" s="153"/>
      <c r="AC858" s="153"/>
      <c r="AD858" s="153"/>
      <c r="AE858" s="153"/>
      <c r="AF858" s="153"/>
      <c r="AG858" s="153"/>
      <c r="AH858" s="153"/>
      <c r="AI858" s="153"/>
      <c r="AJ858" s="153"/>
      <c r="AK858" s="153"/>
    </row>
    <row r="859" spans="2:37" s="115" customFormat="1" x14ac:dyDescent="0.25">
      <c r="B859" s="149"/>
      <c r="G859" s="115" t="s">
        <v>1057</v>
      </c>
      <c r="H859" s="115" t="s">
        <v>1015</v>
      </c>
      <c r="I859" s="153"/>
      <c r="J859" s="153"/>
      <c r="K859" s="153"/>
      <c r="L859" s="153"/>
      <c r="M859" s="153"/>
      <c r="N859" s="153"/>
      <c r="O859" s="153"/>
      <c r="P859" s="153"/>
      <c r="Q859" s="153"/>
      <c r="R859" s="153"/>
      <c r="S859" s="153"/>
      <c r="T859" s="153"/>
      <c r="U859" s="153"/>
      <c r="V859" s="153"/>
      <c r="W859" s="153">
        <v>27</v>
      </c>
      <c r="X859" s="153">
        <v>31</v>
      </c>
      <c r="Y859" s="153">
        <v>0</v>
      </c>
      <c r="Z859" s="153">
        <v>6</v>
      </c>
      <c r="AA859" s="198">
        <v>0</v>
      </c>
      <c r="AB859" s="153"/>
      <c r="AC859" s="153"/>
      <c r="AD859" s="153"/>
      <c r="AE859" s="153"/>
      <c r="AF859" s="153"/>
      <c r="AG859" s="153"/>
      <c r="AH859" s="153"/>
      <c r="AI859" s="153"/>
      <c r="AJ859" s="153"/>
      <c r="AK859" s="153"/>
    </row>
    <row r="860" spans="2:37" s="115" customFormat="1" x14ac:dyDescent="0.25">
      <c r="B860" s="149"/>
      <c r="F860" s="115" t="s">
        <v>1048</v>
      </c>
      <c r="H860" s="115" t="s">
        <v>1015</v>
      </c>
      <c r="I860" s="153"/>
      <c r="J860" s="153"/>
      <c r="K860" s="153"/>
      <c r="L860" s="153"/>
      <c r="M860" s="153"/>
      <c r="N860" s="153"/>
      <c r="O860" s="153"/>
      <c r="P860" s="153"/>
      <c r="Q860" s="153"/>
      <c r="R860" s="153"/>
      <c r="S860" s="153"/>
      <c r="T860" s="153"/>
      <c r="U860" s="153"/>
      <c r="V860" s="153"/>
      <c r="W860" s="153">
        <v>45</v>
      </c>
      <c r="X860" s="153">
        <v>77</v>
      </c>
      <c r="Y860" s="153">
        <v>0</v>
      </c>
      <c r="Z860" s="153">
        <v>5</v>
      </c>
      <c r="AA860" s="198">
        <v>0</v>
      </c>
      <c r="AB860" s="153"/>
      <c r="AC860" s="153"/>
      <c r="AD860" s="153"/>
      <c r="AE860" s="153"/>
      <c r="AF860" s="153"/>
      <c r="AG860" s="153"/>
      <c r="AH860" s="153"/>
      <c r="AI860" s="153"/>
      <c r="AJ860" s="153"/>
      <c r="AK860" s="153"/>
    </row>
    <row r="861" spans="2:37" s="115" customFormat="1" x14ac:dyDescent="0.25">
      <c r="B861" s="149"/>
      <c r="F861" s="115" t="s">
        <v>1052</v>
      </c>
      <c r="H861" s="115" t="s">
        <v>1015</v>
      </c>
      <c r="I861" s="153"/>
      <c r="J861" s="153"/>
      <c r="K861" s="153"/>
      <c r="L861" s="153"/>
      <c r="M861" s="153"/>
      <c r="N861" s="153"/>
      <c r="O861" s="153"/>
      <c r="P861" s="153"/>
      <c r="Q861" s="153"/>
      <c r="R861" s="153"/>
      <c r="S861" s="153"/>
      <c r="T861" s="153"/>
      <c r="U861" s="153"/>
      <c r="V861" s="153"/>
      <c r="W861" s="153">
        <v>0</v>
      </c>
      <c r="X861" s="153">
        <v>0</v>
      </c>
      <c r="Y861" s="153">
        <v>0</v>
      </c>
      <c r="Z861" s="153">
        <v>0</v>
      </c>
      <c r="AA861" s="198"/>
      <c r="AB861" s="153"/>
      <c r="AC861" s="153"/>
      <c r="AD861" s="153"/>
      <c r="AE861" s="153"/>
      <c r="AF861" s="153"/>
      <c r="AG861" s="153"/>
      <c r="AH861" s="153"/>
      <c r="AI861" s="153"/>
      <c r="AJ861" s="153"/>
      <c r="AK861" s="153"/>
    </row>
    <row r="862" spans="2:37" s="115" customFormat="1" x14ac:dyDescent="0.25">
      <c r="B862" s="149"/>
      <c r="F862" s="115" t="s">
        <v>1050</v>
      </c>
      <c r="H862" s="115" t="s">
        <v>1015</v>
      </c>
      <c r="I862" s="153"/>
      <c r="J862" s="153"/>
      <c r="K862" s="153"/>
      <c r="L862" s="153"/>
      <c r="M862" s="153"/>
      <c r="N862" s="153"/>
      <c r="O862" s="153"/>
      <c r="P862" s="153"/>
      <c r="Q862" s="153"/>
      <c r="R862" s="153"/>
      <c r="S862" s="153"/>
      <c r="T862" s="153"/>
      <c r="U862" s="153"/>
      <c r="V862" s="153"/>
      <c r="W862" s="153">
        <v>28</v>
      </c>
      <c r="X862" s="153">
        <v>28</v>
      </c>
      <c r="Y862" s="153">
        <v>24</v>
      </c>
      <c r="Z862" s="153">
        <v>0</v>
      </c>
      <c r="AA862" s="198"/>
      <c r="AB862" s="153"/>
      <c r="AC862" s="153"/>
      <c r="AD862" s="153"/>
      <c r="AE862" s="153"/>
      <c r="AF862" s="153"/>
      <c r="AG862" s="153"/>
      <c r="AH862" s="153"/>
      <c r="AI862" s="153"/>
      <c r="AJ862" s="153"/>
      <c r="AK862" s="153"/>
    </row>
    <row r="863" spans="2:37" s="115" customFormat="1" x14ac:dyDescent="0.25">
      <c r="B863" s="149"/>
      <c r="F863" s="115" t="s">
        <v>1060</v>
      </c>
      <c r="H863" s="115" t="s">
        <v>1015</v>
      </c>
      <c r="I863" s="153"/>
      <c r="J863" s="153"/>
      <c r="K863" s="153"/>
      <c r="L863" s="153"/>
      <c r="M863" s="153"/>
      <c r="N863" s="153"/>
      <c r="O863" s="153"/>
      <c r="P863" s="153"/>
      <c r="Q863" s="153"/>
      <c r="R863" s="153"/>
      <c r="S863" s="153"/>
      <c r="T863" s="153"/>
      <c r="U863" s="153"/>
      <c r="V863" s="153"/>
      <c r="W863" s="153">
        <v>0</v>
      </c>
      <c r="X863" s="153">
        <v>58</v>
      </c>
      <c r="Y863" s="153">
        <v>0</v>
      </c>
      <c r="Z863" s="153">
        <v>24</v>
      </c>
      <c r="AA863" s="198">
        <v>0</v>
      </c>
      <c r="AB863" s="153"/>
      <c r="AC863" s="153"/>
      <c r="AD863" s="153"/>
      <c r="AE863" s="153"/>
      <c r="AF863" s="153"/>
      <c r="AG863" s="153"/>
      <c r="AH863" s="153"/>
      <c r="AI863" s="153"/>
      <c r="AJ863" s="153"/>
      <c r="AK863" s="153"/>
    </row>
    <row r="864" spans="2:37" s="115" customFormat="1" x14ac:dyDescent="0.25">
      <c r="B864" s="149"/>
      <c r="F864" s="115" t="s">
        <v>1062</v>
      </c>
      <c r="H864" s="115" t="s">
        <v>1015</v>
      </c>
      <c r="I864" s="153"/>
      <c r="J864" s="153"/>
      <c r="K864" s="153"/>
      <c r="L864" s="153"/>
      <c r="M864" s="153"/>
      <c r="N864" s="153"/>
      <c r="O864" s="153"/>
      <c r="P864" s="153"/>
      <c r="Q864" s="153"/>
      <c r="R864" s="153"/>
      <c r="S864" s="153"/>
      <c r="T864" s="153"/>
      <c r="U864" s="153"/>
      <c r="V864" s="153"/>
      <c r="W864" s="153">
        <v>96</v>
      </c>
      <c r="X864" s="153">
        <v>105</v>
      </c>
      <c r="Y864" s="153">
        <v>15</v>
      </c>
      <c r="Z864" s="153">
        <v>15</v>
      </c>
      <c r="AA864" s="294">
        <v>15</v>
      </c>
      <c r="AB864" s="153"/>
      <c r="AC864" s="153"/>
      <c r="AD864" s="153"/>
      <c r="AE864" s="153"/>
      <c r="AF864" s="153"/>
      <c r="AG864" s="153"/>
      <c r="AH864" s="153"/>
      <c r="AI864" s="153"/>
      <c r="AJ864" s="153"/>
      <c r="AK864" s="153"/>
    </row>
    <row r="865" spans="2:37" s="111" customFormat="1" x14ac:dyDescent="0.25">
      <c r="B865" s="150"/>
      <c r="E865" s="151" t="s">
        <v>1058</v>
      </c>
      <c r="H865" s="111" t="s">
        <v>1015</v>
      </c>
      <c r="I865" s="152"/>
      <c r="J865" s="152"/>
      <c r="K865" s="152"/>
      <c r="L865" s="152"/>
      <c r="M865" s="152"/>
      <c r="N865" s="152"/>
      <c r="O865" s="152"/>
      <c r="P865" s="152"/>
      <c r="Q865" s="152"/>
      <c r="R865" s="152"/>
      <c r="S865" s="152"/>
      <c r="T865" s="152"/>
      <c r="U865" s="152"/>
      <c r="V865" s="152"/>
      <c r="W865" s="152">
        <f t="shared" ref="W865:AK865" si="161">SUM(W867:W872)</f>
        <v>53</v>
      </c>
      <c r="X865" s="152">
        <f t="shared" si="161"/>
        <v>49</v>
      </c>
      <c r="Y865" s="152">
        <f t="shared" si="161"/>
        <v>66</v>
      </c>
      <c r="Z865" s="152">
        <f t="shared" si="161"/>
        <v>10</v>
      </c>
      <c r="AA865" s="152">
        <f t="shared" si="161"/>
        <v>19</v>
      </c>
      <c r="AB865" s="152">
        <f t="shared" si="161"/>
        <v>0</v>
      </c>
      <c r="AC865" s="152">
        <f t="shared" si="161"/>
        <v>0</v>
      </c>
      <c r="AD865" s="152">
        <f t="shared" si="161"/>
        <v>0</v>
      </c>
      <c r="AE865" s="152">
        <f t="shared" si="161"/>
        <v>0</v>
      </c>
      <c r="AF865" s="152">
        <f t="shared" si="161"/>
        <v>0</v>
      </c>
      <c r="AG865" s="152">
        <f t="shared" si="161"/>
        <v>0</v>
      </c>
      <c r="AH865" s="152">
        <f t="shared" si="161"/>
        <v>0</v>
      </c>
      <c r="AI865" s="152">
        <f t="shared" si="161"/>
        <v>0</v>
      </c>
      <c r="AJ865" s="152">
        <f t="shared" si="161"/>
        <v>0</v>
      </c>
      <c r="AK865" s="152">
        <f t="shared" si="161"/>
        <v>0</v>
      </c>
    </row>
    <row r="866" spans="2:37" s="115" customFormat="1" x14ac:dyDescent="0.25">
      <c r="B866" s="149"/>
      <c r="F866" s="115" t="s">
        <v>1049</v>
      </c>
      <c r="H866" s="115" t="s">
        <v>1015</v>
      </c>
      <c r="I866" s="153"/>
      <c r="J866" s="153"/>
      <c r="K866" s="153"/>
      <c r="L866" s="153"/>
      <c r="M866" s="153"/>
      <c r="N866" s="153"/>
      <c r="O866" s="153"/>
      <c r="P866" s="153"/>
      <c r="Q866" s="153"/>
      <c r="R866" s="153"/>
      <c r="S866" s="153"/>
      <c r="T866" s="153"/>
      <c r="U866" s="153"/>
      <c r="V866" s="153"/>
      <c r="W866" s="153">
        <f>SUM(W867:W869)</f>
        <v>37</v>
      </c>
      <c r="X866" s="153">
        <f t="shared" ref="X866:AK866" si="162">SUM(X867:X869)</f>
        <v>8</v>
      </c>
      <c r="Y866" s="153">
        <f t="shared" si="162"/>
        <v>14</v>
      </c>
      <c r="Z866" s="153">
        <f t="shared" si="162"/>
        <v>10</v>
      </c>
      <c r="AA866" s="153">
        <f t="shared" si="162"/>
        <v>15</v>
      </c>
      <c r="AB866" s="153">
        <f t="shared" si="162"/>
        <v>0</v>
      </c>
      <c r="AC866" s="153">
        <f t="shared" si="162"/>
        <v>0</v>
      </c>
      <c r="AD866" s="153">
        <f t="shared" si="162"/>
        <v>0</v>
      </c>
      <c r="AE866" s="153">
        <f t="shared" si="162"/>
        <v>0</v>
      </c>
      <c r="AF866" s="153">
        <f t="shared" si="162"/>
        <v>0</v>
      </c>
      <c r="AG866" s="153">
        <f t="shared" si="162"/>
        <v>0</v>
      </c>
      <c r="AH866" s="153">
        <f t="shared" si="162"/>
        <v>0</v>
      </c>
      <c r="AI866" s="153">
        <f t="shared" si="162"/>
        <v>0</v>
      </c>
      <c r="AJ866" s="153">
        <f t="shared" si="162"/>
        <v>0</v>
      </c>
      <c r="AK866" s="153">
        <f t="shared" si="162"/>
        <v>0</v>
      </c>
    </row>
    <row r="867" spans="2:37" s="115" customFormat="1" x14ac:dyDescent="0.25">
      <c r="B867" s="149"/>
      <c r="G867" s="115" t="s">
        <v>1055</v>
      </c>
      <c r="H867" s="115" t="s">
        <v>1015</v>
      </c>
      <c r="I867" s="153"/>
      <c r="J867" s="153"/>
      <c r="K867" s="153"/>
      <c r="L867" s="153"/>
      <c r="M867" s="153"/>
      <c r="N867" s="153"/>
      <c r="O867" s="153"/>
      <c r="P867" s="153"/>
      <c r="Q867" s="153"/>
      <c r="R867" s="153"/>
      <c r="S867" s="153"/>
      <c r="T867" s="153"/>
      <c r="U867" s="153"/>
      <c r="V867" s="153"/>
      <c r="W867" s="153">
        <v>0</v>
      </c>
      <c r="X867" s="153">
        <v>0</v>
      </c>
      <c r="Y867" s="153">
        <v>0</v>
      </c>
      <c r="Z867" s="153">
        <v>0</v>
      </c>
      <c r="AA867" s="153">
        <v>4</v>
      </c>
      <c r="AB867" s="153"/>
      <c r="AC867" s="153"/>
      <c r="AD867" s="153"/>
      <c r="AE867" s="153"/>
      <c r="AF867" s="153"/>
      <c r="AG867" s="153"/>
      <c r="AH867" s="153"/>
      <c r="AI867" s="153"/>
      <c r="AJ867" s="153"/>
      <c r="AK867" s="153"/>
    </row>
    <row r="868" spans="2:37" s="115" customFormat="1" x14ac:dyDescent="0.25">
      <c r="B868" s="149"/>
      <c r="E868" s="154"/>
      <c r="G868" s="115" t="s">
        <v>1056</v>
      </c>
      <c r="H868" s="115" t="s">
        <v>1015</v>
      </c>
      <c r="I868" s="153"/>
      <c r="J868" s="153"/>
      <c r="K868" s="153"/>
      <c r="L868" s="153"/>
      <c r="M868" s="153"/>
      <c r="N868" s="153"/>
      <c r="O868" s="153"/>
      <c r="P868" s="153"/>
      <c r="Q868" s="153"/>
      <c r="R868" s="153"/>
      <c r="S868" s="153"/>
      <c r="T868" s="153"/>
      <c r="U868" s="153"/>
      <c r="V868" s="153"/>
      <c r="W868" s="153">
        <v>0</v>
      </c>
      <c r="X868" s="153">
        <v>8</v>
      </c>
      <c r="Y868" s="153">
        <v>8</v>
      </c>
      <c r="Z868" s="153">
        <v>0</v>
      </c>
      <c r="AA868" s="153">
        <v>2</v>
      </c>
      <c r="AB868" s="153"/>
      <c r="AC868" s="153"/>
      <c r="AD868" s="153"/>
      <c r="AE868" s="153"/>
      <c r="AF868" s="153"/>
      <c r="AG868" s="153"/>
      <c r="AH868" s="153"/>
      <c r="AI868" s="153"/>
      <c r="AJ868" s="153"/>
      <c r="AK868" s="153"/>
    </row>
    <row r="869" spans="2:37" s="115" customFormat="1" x14ac:dyDescent="0.25">
      <c r="B869" s="149"/>
      <c r="C869" s="154"/>
      <c r="E869" s="154"/>
      <c r="G869" s="115" t="s">
        <v>1057</v>
      </c>
      <c r="H869" s="115" t="s">
        <v>1015</v>
      </c>
      <c r="I869" s="153"/>
      <c r="J869" s="153"/>
      <c r="K869" s="153"/>
      <c r="L869" s="153"/>
      <c r="M869" s="153"/>
      <c r="N869" s="153"/>
      <c r="O869" s="153"/>
      <c r="P869" s="153"/>
      <c r="Q869" s="153"/>
      <c r="R869" s="153"/>
      <c r="S869" s="153"/>
      <c r="T869" s="153"/>
      <c r="U869" s="153"/>
      <c r="V869" s="153"/>
      <c r="W869" s="153">
        <v>37</v>
      </c>
      <c r="X869" s="153">
        <v>0</v>
      </c>
      <c r="Y869" s="153">
        <v>6</v>
      </c>
      <c r="Z869" s="153">
        <v>10</v>
      </c>
      <c r="AA869" s="153">
        <v>9</v>
      </c>
      <c r="AB869" s="153"/>
      <c r="AC869" s="153"/>
      <c r="AD869" s="153"/>
      <c r="AE869" s="153"/>
      <c r="AF869" s="153"/>
      <c r="AG869" s="153"/>
      <c r="AH869" s="153"/>
      <c r="AI869" s="153"/>
      <c r="AJ869" s="153"/>
      <c r="AK869" s="153"/>
    </row>
    <row r="870" spans="2:37" s="115" customFormat="1" x14ac:dyDescent="0.25">
      <c r="B870" s="149"/>
      <c r="C870" s="154"/>
      <c r="F870" s="115" t="s">
        <v>1048</v>
      </c>
      <c r="H870" s="115" t="s">
        <v>1015</v>
      </c>
      <c r="I870" s="153"/>
      <c r="J870" s="153"/>
      <c r="K870" s="153"/>
      <c r="L870" s="153"/>
      <c r="M870" s="153"/>
      <c r="N870" s="153"/>
      <c r="O870" s="153"/>
      <c r="P870" s="153"/>
      <c r="Q870" s="153"/>
      <c r="R870" s="153"/>
      <c r="S870" s="153"/>
      <c r="T870" s="153"/>
      <c r="U870" s="153"/>
      <c r="V870" s="153"/>
      <c r="W870" s="153">
        <v>0</v>
      </c>
      <c r="X870" s="153">
        <v>0</v>
      </c>
      <c r="Y870" s="153">
        <v>48</v>
      </c>
      <c r="Z870" s="153">
        <v>0</v>
      </c>
      <c r="AA870" s="153">
        <v>4</v>
      </c>
      <c r="AB870" s="153"/>
      <c r="AC870" s="153"/>
      <c r="AD870" s="153"/>
      <c r="AE870" s="153"/>
      <c r="AF870" s="153"/>
      <c r="AG870" s="153"/>
      <c r="AH870" s="153"/>
      <c r="AI870" s="153"/>
      <c r="AJ870" s="153"/>
      <c r="AK870" s="153"/>
    </row>
    <row r="871" spans="2:37" s="115" customFormat="1" x14ac:dyDescent="0.25">
      <c r="B871" s="149"/>
      <c r="C871" s="154"/>
      <c r="F871" s="115" t="s">
        <v>1052</v>
      </c>
      <c r="H871" s="115" t="s">
        <v>1015</v>
      </c>
      <c r="I871" s="153"/>
      <c r="J871" s="153"/>
      <c r="K871" s="153"/>
      <c r="L871" s="153"/>
      <c r="M871" s="153"/>
      <c r="N871" s="153"/>
      <c r="O871" s="153"/>
      <c r="P871" s="153"/>
      <c r="Q871" s="153"/>
      <c r="R871" s="153"/>
      <c r="S871" s="153"/>
      <c r="T871" s="153"/>
      <c r="U871" s="153"/>
      <c r="V871" s="153"/>
      <c r="W871" s="153">
        <v>0</v>
      </c>
      <c r="X871" s="153">
        <v>0</v>
      </c>
      <c r="Y871" s="153">
        <v>0</v>
      </c>
      <c r="Z871" s="153">
        <v>0</v>
      </c>
      <c r="AA871" s="153"/>
      <c r="AB871" s="153"/>
      <c r="AC871" s="153"/>
      <c r="AD871" s="153"/>
      <c r="AE871" s="153"/>
      <c r="AF871" s="153"/>
      <c r="AG871" s="153"/>
      <c r="AH871" s="153"/>
      <c r="AI871" s="153"/>
      <c r="AJ871" s="153"/>
      <c r="AK871" s="153"/>
    </row>
    <row r="872" spans="2:37" s="115" customFormat="1" x14ac:dyDescent="0.25">
      <c r="B872" s="149"/>
      <c r="C872" s="154"/>
      <c r="F872" s="115" t="s">
        <v>1050</v>
      </c>
      <c r="H872" s="115" t="s">
        <v>1015</v>
      </c>
      <c r="I872" s="153"/>
      <c r="J872" s="153"/>
      <c r="K872" s="153"/>
      <c r="L872" s="153"/>
      <c r="M872" s="153"/>
      <c r="N872" s="153"/>
      <c r="O872" s="153"/>
      <c r="P872" s="153"/>
      <c r="Q872" s="153"/>
      <c r="R872" s="153"/>
      <c r="S872" s="153"/>
      <c r="T872" s="153"/>
      <c r="U872" s="153"/>
      <c r="V872" s="153"/>
      <c r="W872" s="153">
        <v>16</v>
      </c>
      <c r="X872" s="153">
        <f>25+16</f>
        <v>41</v>
      </c>
      <c r="Y872" s="153">
        <v>4</v>
      </c>
      <c r="Z872" s="153">
        <v>0</v>
      </c>
      <c r="AA872" s="198"/>
      <c r="AB872" s="153"/>
      <c r="AC872" s="153"/>
      <c r="AD872" s="153"/>
      <c r="AE872" s="153"/>
      <c r="AF872" s="153"/>
      <c r="AG872" s="153"/>
      <c r="AH872" s="153"/>
      <c r="AI872" s="153"/>
      <c r="AJ872" s="153"/>
      <c r="AK872" s="153"/>
    </row>
    <row r="873" spans="2:37" s="115" customFormat="1" x14ac:dyDescent="0.25">
      <c r="B873" s="149"/>
      <c r="C873" s="154"/>
      <c r="F873" s="115" t="s">
        <v>1060</v>
      </c>
      <c r="H873" s="115" t="s">
        <v>1015</v>
      </c>
      <c r="I873" s="153"/>
      <c r="J873" s="153"/>
      <c r="K873" s="153"/>
      <c r="L873" s="153"/>
      <c r="M873" s="153"/>
      <c r="N873" s="153"/>
      <c r="O873" s="153"/>
      <c r="P873" s="153"/>
      <c r="Q873" s="153"/>
      <c r="R873" s="153"/>
      <c r="S873" s="153"/>
      <c r="T873" s="153"/>
      <c r="U873" s="153"/>
      <c r="V873" s="153"/>
      <c r="W873" s="153">
        <v>0</v>
      </c>
      <c r="X873" s="153">
        <v>0</v>
      </c>
      <c r="Y873" s="153">
        <v>58</v>
      </c>
      <c r="Z873" s="153">
        <v>14</v>
      </c>
      <c r="AA873" s="198">
        <v>14</v>
      </c>
      <c r="AB873" s="153"/>
      <c r="AC873" s="153"/>
      <c r="AD873" s="153"/>
      <c r="AE873" s="153"/>
      <c r="AF873" s="153"/>
      <c r="AG873" s="153"/>
      <c r="AH873" s="153"/>
      <c r="AI873" s="153"/>
      <c r="AJ873" s="153"/>
      <c r="AK873" s="153"/>
    </row>
    <row r="874" spans="2:37" s="115" customFormat="1" x14ac:dyDescent="0.25">
      <c r="B874" s="149"/>
      <c r="C874" s="154"/>
      <c r="F874" s="115" t="s">
        <v>1062</v>
      </c>
      <c r="H874" s="115" t="s">
        <v>1015</v>
      </c>
      <c r="I874" s="153"/>
      <c r="J874" s="153"/>
      <c r="K874" s="153"/>
      <c r="L874" s="153"/>
      <c r="M874" s="153"/>
      <c r="N874" s="153"/>
      <c r="O874" s="153"/>
      <c r="P874" s="153"/>
      <c r="Q874" s="153"/>
      <c r="R874" s="153"/>
      <c r="S874" s="153"/>
      <c r="T874" s="153"/>
      <c r="U874" s="153"/>
      <c r="V874" s="153"/>
      <c r="W874" s="153">
        <v>22</v>
      </c>
      <c r="X874" s="153">
        <v>34</v>
      </c>
      <c r="Y874" s="153">
        <f>37+16</f>
        <v>53</v>
      </c>
      <c r="Z874" s="153">
        <v>51</v>
      </c>
      <c r="AA874" s="198">
        <v>21</v>
      </c>
      <c r="AB874" s="153"/>
      <c r="AC874" s="153"/>
      <c r="AD874" s="153"/>
      <c r="AE874" s="153"/>
      <c r="AF874" s="153"/>
      <c r="AG874" s="153"/>
      <c r="AH874" s="153"/>
      <c r="AI874" s="153"/>
      <c r="AJ874" s="153"/>
      <c r="AK874" s="153"/>
    </row>
    <row r="875" spans="2:37" s="111" customFormat="1" x14ac:dyDescent="0.25">
      <c r="B875" s="150"/>
      <c r="C875" s="151"/>
      <c r="E875" s="151" t="s">
        <v>1059</v>
      </c>
      <c r="H875" s="111" t="s">
        <v>1015</v>
      </c>
      <c r="I875" s="152"/>
      <c r="J875" s="152"/>
      <c r="K875" s="152"/>
      <c r="L875" s="152"/>
      <c r="M875" s="152"/>
      <c r="N875" s="152"/>
      <c r="O875" s="152"/>
      <c r="P875" s="152"/>
      <c r="Q875" s="152"/>
      <c r="R875" s="152"/>
      <c r="S875" s="152"/>
      <c r="T875" s="152"/>
      <c r="U875" s="152"/>
      <c r="V875" s="152"/>
      <c r="W875" s="152">
        <f t="shared" ref="W875:AK875" si="163">SUM(W877:W882)</f>
        <v>34</v>
      </c>
      <c r="X875" s="152">
        <f t="shared" si="163"/>
        <v>59</v>
      </c>
      <c r="Y875" s="152">
        <f t="shared" si="163"/>
        <v>93</v>
      </c>
      <c r="Z875" s="152">
        <f t="shared" si="163"/>
        <v>175</v>
      </c>
      <c r="AA875" s="152">
        <f t="shared" si="163"/>
        <v>252</v>
      </c>
      <c r="AB875" s="152">
        <f t="shared" si="163"/>
        <v>0</v>
      </c>
      <c r="AC875" s="152">
        <f t="shared" si="163"/>
        <v>0</v>
      </c>
      <c r="AD875" s="152">
        <f t="shared" si="163"/>
        <v>0</v>
      </c>
      <c r="AE875" s="152">
        <f t="shared" si="163"/>
        <v>0</v>
      </c>
      <c r="AF875" s="152">
        <f t="shared" si="163"/>
        <v>0</v>
      </c>
      <c r="AG875" s="152">
        <f t="shared" si="163"/>
        <v>0</v>
      </c>
      <c r="AH875" s="152">
        <f t="shared" si="163"/>
        <v>0</v>
      </c>
      <c r="AI875" s="152">
        <f t="shared" si="163"/>
        <v>0</v>
      </c>
      <c r="AJ875" s="152">
        <f t="shared" si="163"/>
        <v>0</v>
      </c>
      <c r="AK875" s="152">
        <f t="shared" si="163"/>
        <v>0</v>
      </c>
    </row>
    <row r="876" spans="2:37" s="115" customFormat="1" x14ac:dyDescent="0.25">
      <c r="B876" s="149"/>
      <c r="F876" s="115" t="s">
        <v>1049</v>
      </c>
      <c r="H876" s="115" t="s">
        <v>1015</v>
      </c>
      <c r="I876" s="153"/>
      <c r="J876" s="153"/>
      <c r="K876" s="153"/>
      <c r="L876" s="153"/>
      <c r="M876" s="153"/>
      <c r="N876" s="153"/>
      <c r="O876" s="153"/>
      <c r="P876" s="153"/>
      <c r="Q876" s="153"/>
      <c r="R876" s="153"/>
      <c r="S876" s="153"/>
      <c r="T876" s="153"/>
      <c r="U876" s="153"/>
      <c r="V876" s="153"/>
      <c r="W876" s="153">
        <f>SUM(W877:W879)</f>
        <v>8</v>
      </c>
      <c r="X876" s="153">
        <f t="shared" ref="X876:AK876" si="164">SUM(X877:X879)</f>
        <v>55</v>
      </c>
      <c r="Y876" s="153">
        <f t="shared" si="164"/>
        <v>46</v>
      </c>
      <c r="Z876" s="153">
        <f t="shared" si="164"/>
        <v>74</v>
      </c>
      <c r="AA876" s="153">
        <f t="shared" si="164"/>
        <v>79</v>
      </c>
      <c r="AB876" s="153">
        <f t="shared" si="164"/>
        <v>0</v>
      </c>
      <c r="AC876" s="153">
        <f t="shared" si="164"/>
        <v>0</v>
      </c>
      <c r="AD876" s="153">
        <f t="shared" si="164"/>
        <v>0</v>
      </c>
      <c r="AE876" s="153">
        <f t="shared" si="164"/>
        <v>0</v>
      </c>
      <c r="AF876" s="153">
        <f t="shared" si="164"/>
        <v>0</v>
      </c>
      <c r="AG876" s="153">
        <f t="shared" si="164"/>
        <v>0</v>
      </c>
      <c r="AH876" s="153">
        <f t="shared" si="164"/>
        <v>0</v>
      </c>
      <c r="AI876" s="153">
        <f t="shared" si="164"/>
        <v>0</v>
      </c>
      <c r="AJ876" s="153">
        <f t="shared" si="164"/>
        <v>0</v>
      </c>
      <c r="AK876" s="153">
        <f t="shared" si="164"/>
        <v>0</v>
      </c>
    </row>
    <row r="877" spans="2:37" s="115" customFormat="1" x14ac:dyDescent="0.25">
      <c r="B877" s="149"/>
      <c r="G877" s="115" t="s">
        <v>1055</v>
      </c>
      <c r="H877" s="115" t="s">
        <v>1015</v>
      </c>
      <c r="I877" s="153"/>
      <c r="J877" s="153"/>
      <c r="K877" s="153"/>
      <c r="L877" s="153"/>
      <c r="M877" s="153"/>
      <c r="N877" s="153"/>
      <c r="O877" s="153"/>
      <c r="P877" s="153"/>
      <c r="Q877" s="153"/>
      <c r="R877" s="153"/>
      <c r="S877" s="153"/>
      <c r="T877" s="153"/>
      <c r="U877" s="153"/>
      <c r="V877" s="153"/>
      <c r="W877" s="153">
        <v>0</v>
      </c>
      <c r="X877" s="153">
        <v>0</v>
      </c>
      <c r="Y877" s="153">
        <v>0</v>
      </c>
      <c r="Z877" s="153">
        <v>1</v>
      </c>
      <c r="AA877" s="153">
        <v>0</v>
      </c>
      <c r="AB877" s="153"/>
      <c r="AC877" s="153"/>
      <c r="AD877" s="153"/>
      <c r="AE877" s="153"/>
      <c r="AF877" s="153"/>
      <c r="AG877" s="153"/>
      <c r="AH877" s="153"/>
      <c r="AI877" s="153"/>
      <c r="AJ877" s="153"/>
      <c r="AK877" s="153"/>
    </row>
    <row r="878" spans="2:37" s="115" customFormat="1" x14ac:dyDescent="0.25">
      <c r="B878" s="149"/>
      <c r="E878" s="154"/>
      <c r="G878" s="115" t="s">
        <v>1056</v>
      </c>
      <c r="H878" s="115" t="s">
        <v>1015</v>
      </c>
      <c r="I878" s="153"/>
      <c r="J878" s="153"/>
      <c r="K878" s="153"/>
      <c r="L878" s="153"/>
      <c r="M878" s="153"/>
      <c r="N878" s="153"/>
      <c r="O878" s="153"/>
      <c r="P878" s="153"/>
      <c r="Q878" s="153"/>
      <c r="R878" s="153"/>
      <c r="S878" s="153"/>
      <c r="T878" s="153"/>
      <c r="U878" s="153"/>
      <c r="V878" s="153"/>
      <c r="W878" s="153">
        <v>0</v>
      </c>
      <c r="X878" s="153">
        <v>12</v>
      </c>
      <c r="Y878" s="153">
        <v>8</v>
      </c>
      <c r="Z878" s="153">
        <v>17</v>
      </c>
      <c r="AA878" s="153">
        <v>11</v>
      </c>
      <c r="AB878" s="153"/>
      <c r="AC878" s="153"/>
      <c r="AD878" s="153"/>
      <c r="AE878" s="153"/>
      <c r="AF878" s="153"/>
      <c r="AG878" s="153"/>
      <c r="AH878" s="153"/>
      <c r="AI878" s="153"/>
      <c r="AJ878" s="153"/>
      <c r="AK878" s="153"/>
    </row>
    <row r="879" spans="2:37" s="115" customFormat="1" x14ac:dyDescent="0.25">
      <c r="B879" s="149"/>
      <c r="C879" s="154"/>
      <c r="E879" s="154"/>
      <c r="G879" s="115" t="s">
        <v>1057</v>
      </c>
      <c r="H879" s="115" t="s">
        <v>1015</v>
      </c>
      <c r="I879" s="153"/>
      <c r="J879" s="153"/>
      <c r="K879" s="153"/>
      <c r="L879" s="153"/>
      <c r="M879" s="153"/>
      <c r="N879" s="153"/>
      <c r="O879" s="153"/>
      <c r="P879" s="153"/>
      <c r="Q879" s="153"/>
      <c r="R879" s="153"/>
      <c r="S879" s="153"/>
      <c r="T879" s="153"/>
      <c r="U879" s="153"/>
      <c r="V879" s="153"/>
      <c r="W879" s="153">
        <v>8</v>
      </c>
      <c r="X879" s="153">
        <f>61-18</f>
        <v>43</v>
      </c>
      <c r="Y879" s="153">
        <v>38</v>
      </c>
      <c r="Z879" s="153">
        <v>56</v>
      </c>
      <c r="AA879" s="153">
        <v>68</v>
      </c>
      <c r="AB879" s="153"/>
      <c r="AC879" s="153"/>
      <c r="AD879" s="153"/>
      <c r="AE879" s="153"/>
      <c r="AF879" s="153"/>
      <c r="AG879" s="153"/>
      <c r="AH879" s="153"/>
      <c r="AI879" s="153"/>
      <c r="AJ879" s="153"/>
      <c r="AK879" s="153"/>
    </row>
    <row r="880" spans="2:37" s="115" customFormat="1" x14ac:dyDescent="0.25">
      <c r="B880" s="149"/>
      <c r="C880" s="154"/>
      <c r="F880" s="115" t="s">
        <v>1048</v>
      </c>
      <c r="H880" s="115" t="s">
        <v>1015</v>
      </c>
      <c r="I880" s="153"/>
      <c r="J880" s="153"/>
      <c r="K880" s="153"/>
      <c r="L880" s="153"/>
      <c r="M880" s="153"/>
      <c r="N880" s="153"/>
      <c r="O880" s="153"/>
      <c r="P880" s="153"/>
      <c r="Q880" s="153"/>
      <c r="R880" s="153"/>
      <c r="S880" s="153"/>
      <c r="T880" s="153"/>
      <c r="U880" s="153"/>
      <c r="V880" s="153"/>
      <c r="W880" s="153">
        <v>0</v>
      </c>
      <c r="X880" s="153">
        <v>4</v>
      </c>
      <c r="Y880" s="153">
        <f>22+12+11+2</f>
        <v>47</v>
      </c>
      <c r="Z880" s="153">
        <v>101</v>
      </c>
      <c r="AA880" s="153">
        <v>173</v>
      </c>
      <c r="AB880" s="153"/>
      <c r="AC880" s="153"/>
      <c r="AD880" s="153"/>
      <c r="AE880" s="153"/>
      <c r="AF880" s="153"/>
      <c r="AG880" s="153"/>
      <c r="AH880" s="153"/>
      <c r="AI880" s="153"/>
      <c r="AJ880" s="153"/>
      <c r="AK880" s="153"/>
    </row>
    <row r="881" spans="2:37" s="115" customFormat="1" x14ac:dyDescent="0.25">
      <c r="B881" s="149"/>
      <c r="C881" s="154"/>
      <c r="F881" s="115" t="s">
        <v>1052</v>
      </c>
      <c r="H881" s="115" t="s">
        <v>1015</v>
      </c>
      <c r="I881" s="153"/>
      <c r="J881" s="153"/>
      <c r="K881" s="153"/>
      <c r="L881" s="153"/>
      <c r="M881" s="153"/>
      <c r="N881" s="153"/>
      <c r="O881" s="153"/>
      <c r="P881" s="153"/>
      <c r="Q881" s="153"/>
      <c r="R881" s="153"/>
      <c r="S881" s="153"/>
      <c r="T881" s="153"/>
      <c r="U881" s="153"/>
      <c r="V881" s="153"/>
      <c r="W881" s="153">
        <v>15</v>
      </c>
      <c r="X881" s="153">
        <v>0</v>
      </c>
      <c r="Y881" s="153">
        <v>0</v>
      </c>
      <c r="Z881" s="153">
        <v>0</v>
      </c>
      <c r="AA881" s="153">
        <v>0</v>
      </c>
      <c r="AB881" s="153"/>
      <c r="AC881" s="153"/>
      <c r="AD881" s="153"/>
      <c r="AE881" s="153"/>
      <c r="AF881" s="153"/>
      <c r="AG881" s="153"/>
      <c r="AH881" s="153"/>
      <c r="AI881" s="153"/>
      <c r="AJ881" s="153"/>
      <c r="AK881" s="153"/>
    </row>
    <row r="882" spans="2:37" s="115" customFormat="1" x14ac:dyDescent="0.25">
      <c r="B882" s="149"/>
      <c r="C882" s="154"/>
      <c r="F882" s="115" t="s">
        <v>1050</v>
      </c>
      <c r="H882" s="115" t="s">
        <v>1015</v>
      </c>
      <c r="I882" s="153"/>
      <c r="J882" s="153"/>
      <c r="K882" s="153"/>
      <c r="L882" s="153"/>
      <c r="M882" s="153"/>
      <c r="N882" s="153"/>
      <c r="O882" s="153"/>
      <c r="P882" s="153"/>
      <c r="Q882" s="153"/>
      <c r="R882" s="153"/>
      <c r="S882" s="153"/>
      <c r="T882" s="153"/>
      <c r="U882" s="153"/>
      <c r="V882" s="153"/>
      <c r="W882" s="153">
        <v>11</v>
      </c>
      <c r="X882" s="153">
        <v>0</v>
      </c>
      <c r="Y882" s="153">
        <v>0</v>
      </c>
      <c r="Z882" s="153">
        <v>0</v>
      </c>
      <c r="AA882" s="153"/>
      <c r="AB882" s="153"/>
      <c r="AC882" s="153"/>
      <c r="AD882" s="153"/>
      <c r="AE882" s="153"/>
      <c r="AF882" s="153"/>
      <c r="AG882" s="153"/>
      <c r="AH882" s="153"/>
      <c r="AI882" s="153"/>
      <c r="AJ882" s="153"/>
      <c r="AK882" s="153"/>
    </row>
    <row r="883" spans="2:37" s="111" customFormat="1" x14ac:dyDescent="0.25">
      <c r="B883" s="150"/>
      <c r="C883" s="151"/>
      <c r="F883" s="111" t="s">
        <v>1067</v>
      </c>
      <c r="H883" s="111" t="s">
        <v>1015</v>
      </c>
      <c r="I883" s="152"/>
      <c r="J883" s="152"/>
      <c r="K883" s="152"/>
      <c r="L883" s="152"/>
      <c r="M883" s="152"/>
      <c r="N883" s="152"/>
      <c r="O883" s="152"/>
      <c r="P883" s="152"/>
      <c r="Q883" s="152"/>
      <c r="R883" s="152"/>
      <c r="S883" s="152"/>
      <c r="T883" s="152"/>
      <c r="U883" s="152"/>
      <c r="V883" s="152"/>
      <c r="W883" s="111">
        <f>SUM(W884:W885)</f>
        <v>34</v>
      </c>
      <c r="X883" s="111">
        <f>SUM(X884:X885)</f>
        <v>63</v>
      </c>
      <c r="Y883" s="111">
        <f>SUM(Y884:Y885)</f>
        <v>106</v>
      </c>
      <c r="Z883" s="111">
        <f>SUM(Z884:Z885)</f>
        <v>263</v>
      </c>
      <c r="AA883" s="111">
        <f>SUM(AA884:AA885)</f>
        <v>191</v>
      </c>
      <c r="AB883" s="152"/>
      <c r="AC883" s="152"/>
      <c r="AD883" s="152"/>
      <c r="AE883" s="152"/>
      <c r="AF883" s="152"/>
      <c r="AG883" s="152"/>
      <c r="AH883" s="152"/>
      <c r="AI883" s="152"/>
      <c r="AJ883" s="152"/>
      <c r="AK883" s="152"/>
    </row>
    <row r="884" spans="2:37" s="111" customFormat="1" x14ac:dyDescent="0.25">
      <c r="B884" s="150"/>
      <c r="C884" s="151"/>
      <c r="G884" s="85" t="s">
        <v>661</v>
      </c>
      <c r="H884" s="111" t="s">
        <v>1015</v>
      </c>
      <c r="I884" s="152"/>
      <c r="J884" s="152"/>
      <c r="K884" s="152"/>
      <c r="L884" s="152"/>
      <c r="M884" s="152"/>
      <c r="N884" s="152"/>
      <c r="O884" s="152"/>
      <c r="P884" s="152"/>
      <c r="Q884" s="152"/>
      <c r="R884" s="152"/>
      <c r="S884" s="152"/>
      <c r="T884" s="152"/>
      <c r="U884" s="152"/>
      <c r="V884" s="152"/>
      <c r="W884" s="200">
        <f>1+11+1+4+2+15</f>
        <v>34</v>
      </c>
      <c r="X884" s="200">
        <f>4+4+2+1+3+26+4+2+1</f>
        <v>47</v>
      </c>
      <c r="Y884" s="200">
        <f>14+22+12+11+1+15+3+2+1+1+2+1+1</f>
        <v>86</v>
      </c>
      <c r="Z884" s="200">
        <f>58+81</f>
        <v>139</v>
      </c>
      <c r="AA884" s="201">
        <v>138</v>
      </c>
      <c r="AB884" s="152"/>
      <c r="AC884" s="152"/>
      <c r="AD884" s="152"/>
      <c r="AE884" s="152"/>
      <c r="AF884" s="152"/>
      <c r="AG884" s="152"/>
      <c r="AH884" s="152"/>
      <c r="AI884" s="152"/>
      <c r="AJ884" s="152"/>
      <c r="AK884" s="152"/>
    </row>
    <row r="885" spans="2:37" s="111" customFormat="1" x14ac:dyDescent="0.25">
      <c r="B885" s="150"/>
      <c r="C885" s="151"/>
      <c r="G885" s="115" t="s">
        <v>1060</v>
      </c>
      <c r="H885" s="111" t="s">
        <v>1015</v>
      </c>
      <c r="I885" s="152"/>
      <c r="J885" s="152"/>
      <c r="K885" s="152"/>
      <c r="L885" s="152"/>
      <c r="M885" s="152"/>
      <c r="N885" s="152"/>
      <c r="O885" s="152"/>
      <c r="P885" s="152"/>
      <c r="Q885" s="152"/>
      <c r="R885" s="152"/>
      <c r="S885" s="152"/>
      <c r="T885" s="152"/>
      <c r="U885" s="152"/>
      <c r="V885" s="152"/>
      <c r="W885" s="198">
        <v>0</v>
      </c>
      <c r="X885" s="198">
        <v>16</v>
      </c>
      <c r="Y885" s="198">
        <v>20</v>
      </c>
      <c r="Z885" s="198">
        <v>124</v>
      </c>
      <c r="AA885" s="198">
        <v>53</v>
      </c>
      <c r="AB885" s="152"/>
      <c r="AC885" s="152"/>
      <c r="AD885" s="152"/>
      <c r="AE885" s="152"/>
      <c r="AF885" s="152"/>
      <c r="AG885" s="152"/>
      <c r="AH885" s="152"/>
      <c r="AI885" s="152"/>
      <c r="AJ885" s="152"/>
      <c r="AK885" s="152"/>
    </row>
    <row r="886" spans="2:37" s="111" customFormat="1" x14ac:dyDescent="0.25">
      <c r="B886" s="150"/>
      <c r="C886" s="151"/>
      <c r="F886" s="111" t="s">
        <v>1068</v>
      </c>
      <c r="H886" s="111" t="s">
        <v>1015</v>
      </c>
      <c r="I886" s="152"/>
      <c r="J886" s="152"/>
      <c r="K886" s="152"/>
      <c r="L886" s="152"/>
      <c r="M886" s="152"/>
      <c r="N886" s="152"/>
      <c r="O886" s="152"/>
      <c r="P886" s="152"/>
      <c r="Q886" s="152"/>
      <c r="R886" s="152"/>
      <c r="S886" s="152"/>
      <c r="T886" s="152"/>
      <c r="U886" s="152"/>
      <c r="V886" s="152"/>
      <c r="W886" s="111">
        <f>SUM(W887:W888)</f>
        <v>161</v>
      </c>
      <c r="X886" s="111">
        <f>SUM(X887:X888)</f>
        <v>197</v>
      </c>
      <c r="Y886" s="111">
        <f>SUM(Y887:Y888)</f>
        <v>8</v>
      </c>
      <c r="Z886" s="111">
        <f>SUM(Z887:Z888)</f>
        <v>62</v>
      </c>
      <c r="AA886" s="111">
        <f>SUM(AA887:AA888)</f>
        <v>150</v>
      </c>
      <c r="AB886" s="152"/>
      <c r="AC886" s="152"/>
      <c r="AD886" s="152"/>
      <c r="AE886" s="152"/>
      <c r="AF886" s="152"/>
      <c r="AG886" s="152"/>
      <c r="AH886" s="152"/>
      <c r="AI886" s="152"/>
      <c r="AJ886" s="152"/>
      <c r="AK886" s="152"/>
    </row>
    <row r="887" spans="2:37" s="85" customFormat="1" x14ac:dyDescent="0.25">
      <c r="B887" s="104"/>
      <c r="C887" s="173"/>
      <c r="G887" s="85" t="s">
        <v>662</v>
      </c>
      <c r="H887" s="85" t="s">
        <v>1015</v>
      </c>
      <c r="I887" s="200"/>
      <c r="J887" s="200"/>
      <c r="K887" s="200"/>
      <c r="L887" s="200"/>
      <c r="M887" s="200"/>
      <c r="N887" s="200"/>
      <c r="O887" s="200"/>
      <c r="P887" s="200"/>
      <c r="Q887" s="200"/>
      <c r="R887" s="200"/>
      <c r="S887" s="200"/>
      <c r="T887" s="200"/>
      <c r="U887" s="200"/>
      <c r="V887" s="200"/>
      <c r="W887" s="200">
        <v>0</v>
      </c>
      <c r="X887" s="200">
        <f>12</f>
        <v>12</v>
      </c>
      <c r="Y887" s="200">
        <f>4+4</f>
        <v>8</v>
      </c>
      <c r="Z887" s="200">
        <v>36</v>
      </c>
      <c r="AA887" s="201">
        <v>114</v>
      </c>
      <c r="AB887" s="200"/>
      <c r="AC887" s="200"/>
      <c r="AD887" s="200"/>
      <c r="AE887" s="200"/>
      <c r="AF887" s="200"/>
      <c r="AG887" s="200"/>
      <c r="AH887" s="200"/>
      <c r="AI887" s="200"/>
      <c r="AJ887" s="200"/>
      <c r="AK887" s="200"/>
    </row>
    <row r="888" spans="2:37" s="85" customFormat="1" x14ac:dyDescent="0.25">
      <c r="B888" s="104"/>
      <c r="C888" s="173"/>
      <c r="G888" s="85" t="s">
        <v>1062</v>
      </c>
      <c r="H888" s="85" t="s">
        <v>1015</v>
      </c>
      <c r="I888" s="200"/>
      <c r="J888" s="200"/>
      <c r="K888" s="200"/>
      <c r="L888" s="200"/>
      <c r="M888" s="200"/>
      <c r="N888" s="200"/>
      <c r="O888" s="200"/>
      <c r="P888" s="200"/>
      <c r="Q888" s="200"/>
      <c r="R888" s="200"/>
      <c r="S888" s="200"/>
      <c r="T888" s="200"/>
      <c r="U888" s="200"/>
      <c r="V888" s="200"/>
      <c r="W888" s="201">
        <v>161</v>
      </c>
      <c r="X888" s="201">
        <v>185</v>
      </c>
      <c r="Y888" s="201"/>
      <c r="Z888" s="201">
        <v>26</v>
      </c>
      <c r="AA888" s="200">
        <v>36</v>
      </c>
      <c r="AB888" s="200"/>
      <c r="AC888" s="200"/>
      <c r="AD888" s="200"/>
      <c r="AE888" s="200"/>
      <c r="AF888" s="200"/>
      <c r="AG888" s="200"/>
      <c r="AH888" s="200"/>
      <c r="AI888" s="200"/>
      <c r="AJ888" s="200"/>
      <c r="AK888" s="200"/>
    </row>
    <row r="889" spans="2:37" s="62" customFormat="1" x14ac:dyDescent="0.25">
      <c r="B889" s="196"/>
      <c r="C889" s="197"/>
      <c r="D889" s="62" t="s">
        <v>2037</v>
      </c>
      <c r="I889" s="155"/>
      <c r="J889" s="155"/>
      <c r="K889" s="155"/>
      <c r="L889" s="155"/>
      <c r="M889" s="155"/>
      <c r="N889" s="155"/>
      <c r="O889" s="155"/>
      <c r="P889" s="155"/>
      <c r="Q889" s="155"/>
      <c r="R889" s="155"/>
      <c r="S889" s="155"/>
      <c r="T889" s="155"/>
      <c r="U889" s="155"/>
      <c r="V889" s="155"/>
      <c r="W889" s="155"/>
      <c r="X889" s="155"/>
      <c r="Y889" s="199"/>
      <c r="Z889" s="199"/>
      <c r="AA889" s="155"/>
      <c r="AB889" s="155"/>
      <c r="AC889" s="155"/>
      <c r="AD889" s="155"/>
      <c r="AE889" s="155"/>
      <c r="AF889" s="155"/>
      <c r="AG889" s="155"/>
      <c r="AH889" s="155"/>
      <c r="AI889" s="155"/>
      <c r="AJ889" s="155"/>
      <c r="AK889" s="155"/>
    </row>
    <row r="890" spans="2:37" s="111" customFormat="1" x14ac:dyDescent="0.25">
      <c r="B890" s="150"/>
      <c r="C890" s="151"/>
      <c r="E890" s="111" t="s">
        <v>1065</v>
      </c>
      <c r="H890" s="111" t="s">
        <v>1015</v>
      </c>
      <c r="I890" s="152">
        <f t="shared" ref="I890:P890" si="165">SUM(I891:I892)</f>
        <v>8</v>
      </c>
      <c r="J890" s="152">
        <f t="shared" si="165"/>
        <v>123</v>
      </c>
      <c r="K890" s="152">
        <f t="shared" si="165"/>
        <v>10</v>
      </c>
      <c r="L890" s="152">
        <f t="shared" si="165"/>
        <v>6</v>
      </c>
      <c r="M890" s="152">
        <f t="shared" si="165"/>
        <v>16</v>
      </c>
      <c r="N890" s="152">
        <f t="shared" si="165"/>
        <v>18</v>
      </c>
      <c r="O890" s="152">
        <f t="shared" si="165"/>
        <v>25</v>
      </c>
      <c r="P890" s="152">
        <f t="shared" si="165"/>
        <v>14</v>
      </c>
      <c r="Q890" s="152">
        <f>SUM(Q891:Q892)</f>
        <v>3</v>
      </c>
      <c r="R890" s="152">
        <f t="shared" ref="R890:AA890" si="166">SUM(R891:R892)</f>
        <v>3</v>
      </c>
      <c r="S890" s="152">
        <f t="shared" si="166"/>
        <v>4</v>
      </c>
      <c r="T890" s="152">
        <f t="shared" si="166"/>
        <v>36</v>
      </c>
      <c r="U890" s="152">
        <f t="shared" si="166"/>
        <v>30</v>
      </c>
      <c r="V890" s="152">
        <f t="shared" si="166"/>
        <v>16</v>
      </c>
      <c r="W890" s="152">
        <f t="shared" si="166"/>
        <v>26</v>
      </c>
      <c r="X890" s="152">
        <f t="shared" si="166"/>
        <v>44</v>
      </c>
      <c r="Y890" s="152">
        <f t="shared" si="166"/>
        <v>84</v>
      </c>
      <c r="Z890" s="152">
        <f t="shared" si="166"/>
        <v>236</v>
      </c>
      <c r="AA890" s="152">
        <f t="shared" si="166"/>
        <v>92</v>
      </c>
      <c r="AB890" s="152"/>
      <c r="AC890" s="152"/>
      <c r="AD890" s="152"/>
      <c r="AE890" s="152"/>
      <c r="AF890" s="152"/>
      <c r="AG890" s="152"/>
      <c r="AH890" s="152"/>
      <c r="AI890" s="152"/>
      <c r="AJ890" s="152"/>
      <c r="AK890" s="152"/>
    </row>
    <row r="891" spans="2:37" s="115" customFormat="1" x14ac:dyDescent="0.25">
      <c r="B891" s="149"/>
      <c r="C891" s="154"/>
      <c r="F891" s="115" t="s">
        <v>238</v>
      </c>
      <c r="H891" s="115" t="s">
        <v>1015</v>
      </c>
      <c r="I891" s="153">
        <v>8</v>
      </c>
      <c r="J891" s="153">
        <v>123</v>
      </c>
      <c r="K891" s="153">
        <v>10</v>
      </c>
      <c r="L891" s="153">
        <v>6</v>
      </c>
      <c r="M891" s="153">
        <v>16</v>
      </c>
      <c r="N891" s="153">
        <v>18</v>
      </c>
      <c r="O891" s="153">
        <v>25</v>
      </c>
      <c r="P891" s="153">
        <v>14</v>
      </c>
      <c r="Q891" s="153">
        <v>3</v>
      </c>
      <c r="R891" s="153">
        <v>3</v>
      </c>
      <c r="S891" s="153">
        <v>4</v>
      </c>
      <c r="T891" s="153">
        <v>36</v>
      </c>
      <c r="U891" s="153">
        <v>30</v>
      </c>
      <c r="V891" s="153">
        <v>16</v>
      </c>
      <c r="W891" s="153">
        <v>26</v>
      </c>
      <c r="X891" s="153">
        <v>44</v>
      </c>
      <c r="Y891" s="198">
        <v>84</v>
      </c>
      <c r="Z891" s="198">
        <v>236</v>
      </c>
      <c r="AA891" s="153">
        <v>92</v>
      </c>
      <c r="AB891" s="153"/>
      <c r="AC891" s="153"/>
      <c r="AD891" s="153"/>
      <c r="AE891" s="153"/>
      <c r="AF891" s="153"/>
      <c r="AG891" s="153"/>
      <c r="AH891" s="153"/>
      <c r="AI891" s="153"/>
      <c r="AJ891" s="153"/>
      <c r="AK891" s="153"/>
    </row>
    <row r="892" spans="2:37" s="115" customFormat="1" x14ac:dyDescent="0.25">
      <c r="B892" s="149"/>
      <c r="C892" s="154"/>
      <c r="F892" s="115" t="s">
        <v>240</v>
      </c>
      <c r="H892" s="115" t="s">
        <v>1015</v>
      </c>
      <c r="I892" s="153">
        <v>0</v>
      </c>
      <c r="J892" s="153">
        <v>0</v>
      </c>
      <c r="K892" s="153">
        <v>0</v>
      </c>
      <c r="L892" s="153">
        <v>0</v>
      </c>
      <c r="M892" s="153">
        <v>0</v>
      </c>
      <c r="N892" s="153">
        <v>0</v>
      </c>
      <c r="O892" s="153">
        <v>0</v>
      </c>
      <c r="P892" s="153">
        <v>0</v>
      </c>
      <c r="Q892" s="153">
        <v>0</v>
      </c>
      <c r="R892" s="153">
        <v>0</v>
      </c>
      <c r="S892" s="153">
        <v>0</v>
      </c>
      <c r="T892" s="153">
        <v>0</v>
      </c>
      <c r="U892" s="153">
        <v>0</v>
      </c>
      <c r="V892" s="153">
        <v>0</v>
      </c>
      <c r="W892" s="153">
        <v>0</v>
      </c>
      <c r="X892" s="153">
        <v>0</v>
      </c>
      <c r="Y892" s="198">
        <v>0</v>
      </c>
      <c r="Z892" s="198">
        <v>0</v>
      </c>
      <c r="AA892" s="153">
        <v>0</v>
      </c>
      <c r="AB892" s="153"/>
      <c r="AC892" s="153"/>
      <c r="AD892" s="153"/>
      <c r="AE892" s="153"/>
      <c r="AF892" s="153"/>
      <c r="AG892" s="153"/>
      <c r="AH892" s="153"/>
      <c r="AI892" s="153"/>
      <c r="AJ892" s="153"/>
      <c r="AK892" s="153"/>
    </row>
    <row r="893" spans="2:37" s="111" customFormat="1" x14ac:dyDescent="0.25">
      <c r="B893" s="150"/>
      <c r="C893" s="151"/>
      <c r="E893" s="111" t="s">
        <v>1066</v>
      </c>
      <c r="H893" s="111" t="s">
        <v>1015</v>
      </c>
      <c r="I893" s="152">
        <f t="shared" ref="I893:P893" si="167">SUM(I894:I896)</f>
        <v>69</v>
      </c>
      <c r="J893" s="152">
        <f t="shared" si="167"/>
        <v>142</v>
      </c>
      <c r="K893" s="152">
        <f t="shared" si="167"/>
        <v>140</v>
      </c>
      <c r="L893" s="152">
        <f t="shared" si="167"/>
        <v>180</v>
      </c>
      <c r="M893" s="152">
        <f t="shared" si="167"/>
        <v>156</v>
      </c>
      <c r="N893" s="152">
        <f t="shared" si="167"/>
        <v>174</v>
      </c>
      <c r="O893" s="152">
        <f t="shared" si="167"/>
        <v>212</v>
      </c>
      <c r="P893" s="152">
        <f t="shared" si="167"/>
        <v>160</v>
      </c>
      <c r="Q893" s="152">
        <f>SUM(Q894:Q896)</f>
        <v>73</v>
      </c>
      <c r="R893" s="152">
        <f t="shared" ref="R893:AA893" si="168">SUM(R894:R896)</f>
        <v>72</v>
      </c>
      <c r="S893" s="152">
        <f t="shared" si="168"/>
        <v>82</v>
      </c>
      <c r="T893" s="152">
        <f t="shared" si="168"/>
        <v>107</v>
      </c>
      <c r="U893" s="152">
        <f t="shared" si="168"/>
        <v>148</v>
      </c>
      <c r="V893" s="152">
        <f t="shared" si="168"/>
        <v>133</v>
      </c>
      <c r="W893" s="152">
        <f t="shared" si="168"/>
        <v>70</v>
      </c>
      <c r="X893" s="152">
        <f t="shared" si="168"/>
        <v>197</v>
      </c>
      <c r="Y893" s="152">
        <f t="shared" si="168"/>
        <v>176</v>
      </c>
      <c r="Z893" s="152">
        <f t="shared" si="168"/>
        <v>172</v>
      </c>
      <c r="AA893" s="152">
        <f t="shared" si="168"/>
        <v>209</v>
      </c>
      <c r="AB893" s="152"/>
      <c r="AC893" s="152"/>
      <c r="AD893" s="152"/>
      <c r="AE893" s="152"/>
      <c r="AF893" s="152"/>
      <c r="AG893" s="152"/>
      <c r="AH893" s="152"/>
      <c r="AI893" s="152"/>
      <c r="AJ893" s="152"/>
      <c r="AK893" s="152"/>
    </row>
    <row r="894" spans="2:37" s="115" customFormat="1" x14ac:dyDescent="0.25">
      <c r="B894" s="149"/>
      <c r="C894" s="154"/>
      <c r="F894" t="s">
        <v>235</v>
      </c>
      <c r="H894" s="115" t="s">
        <v>1015</v>
      </c>
      <c r="I894" s="153">
        <v>0</v>
      </c>
      <c r="J894" s="153">
        <v>0</v>
      </c>
      <c r="K894" s="153">
        <v>0</v>
      </c>
      <c r="L894" s="153">
        <v>0</v>
      </c>
      <c r="M894" s="153">
        <v>1</v>
      </c>
      <c r="N894" s="153">
        <v>0</v>
      </c>
      <c r="O894" s="153">
        <v>1</v>
      </c>
      <c r="P894" s="153">
        <v>0</v>
      </c>
      <c r="Q894" s="153">
        <v>0</v>
      </c>
      <c r="R894" s="153">
        <v>0</v>
      </c>
      <c r="S894" s="153">
        <v>0</v>
      </c>
      <c r="T894" s="153">
        <v>2</v>
      </c>
      <c r="U894" s="153">
        <v>0</v>
      </c>
      <c r="V894" s="153">
        <v>0</v>
      </c>
      <c r="W894" s="153">
        <v>0</v>
      </c>
      <c r="X894" s="153">
        <v>0</v>
      </c>
      <c r="Y894" s="198">
        <v>0</v>
      </c>
      <c r="Z894" s="198">
        <v>7</v>
      </c>
      <c r="AA894" s="153">
        <v>3</v>
      </c>
      <c r="AB894" s="153"/>
      <c r="AC894" s="153"/>
      <c r="AD894" s="153"/>
      <c r="AE894" s="153"/>
      <c r="AF894" s="153"/>
      <c r="AG894" s="153"/>
      <c r="AH894" s="153"/>
      <c r="AI894" s="153"/>
      <c r="AJ894" s="153"/>
      <c r="AK894" s="153"/>
    </row>
    <row r="895" spans="2:37" s="115" customFormat="1" x14ac:dyDescent="0.25">
      <c r="B895" s="149"/>
      <c r="C895" s="154"/>
      <c r="F895" t="s">
        <v>236</v>
      </c>
      <c r="H895" s="115" t="s">
        <v>1015</v>
      </c>
      <c r="I895" s="153">
        <v>56</v>
      </c>
      <c r="J895" s="153">
        <v>106</v>
      </c>
      <c r="K895" s="153">
        <v>137</v>
      </c>
      <c r="L895" s="153">
        <v>158</v>
      </c>
      <c r="M895" s="153">
        <v>147</v>
      </c>
      <c r="N895" s="153">
        <v>168</v>
      </c>
      <c r="O895" s="153">
        <v>151</v>
      </c>
      <c r="P895" s="153">
        <v>118</v>
      </c>
      <c r="Q895" s="153">
        <v>66</v>
      </c>
      <c r="R895" s="153">
        <v>65</v>
      </c>
      <c r="S895" s="153">
        <v>70</v>
      </c>
      <c r="T895" s="153">
        <v>95</v>
      </c>
      <c r="U895" s="153">
        <v>131</v>
      </c>
      <c r="V895" s="153">
        <v>91</v>
      </c>
      <c r="W895" s="153">
        <v>54</v>
      </c>
      <c r="X895" s="153">
        <v>143</v>
      </c>
      <c r="Y895" s="198">
        <v>137</v>
      </c>
      <c r="Z895" s="198">
        <v>144</v>
      </c>
      <c r="AA895" s="153">
        <v>147</v>
      </c>
      <c r="AB895" s="153"/>
      <c r="AC895" s="153"/>
      <c r="AD895" s="153"/>
      <c r="AE895" s="153"/>
      <c r="AF895" s="153"/>
      <c r="AG895" s="153"/>
      <c r="AH895" s="153"/>
      <c r="AI895" s="153"/>
      <c r="AJ895" s="153"/>
      <c r="AK895" s="153"/>
    </row>
    <row r="896" spans="2:37" s="115" customFormat="1" x14ac:dyDescent="0.25">
      <c r="B896" s="149"/>
      <c r="C896" s="154"/>
      <c r="F896" t="s">
        <v>237</v>
      </c>
      <c r="H896" s="115" t="s">
        <v>1015</v>
      </c>
      <c r="I896" s="153">
        <v>13</v>
      </c>
      <c r="J896" s="153">
        <v>36</v>
      </c>
      <c r="K896" s="153">
        <v>3</v>
      </c>
      <c r="L896" s="153">
        <v>22</v>
      </c>
      <c r="M896" s="153">
        <v>8</v>
      </c>
      <c r="N896" s="153">
        <v>6</v>
      </c>
      <c r="O896" s="153">
        <v>60</v>
      </c>
      <c r="P896" s="153">
        <v>42</v>
      </c>
      <c r="Q896" s="153">
        <v>7</v>
      </c>
      <c r="R896" s="153">
        <v>7</v>
      </c>
      <c r="S896" s="153">
        <v>12</v>
      </c>
      <c r="T896" s="153">
        <v>10</v>
      </c>
      <c r="U896" s="153">
        <v>17</v>
      </c>
      <c r="V896" s="153">
        <v>42</v>
      </c>
      <c r="W896" s="153">
        <v>16</v>
      </c>
      <c r="X896" s="153">
        <v>54</v>
      </c>
      <c r="Y896" s="198">
        <v>39</v>
      </c>
      <c r="Z896" s="198">
        <v>21</v>
      </c>
      <c r="AA896" s="153">
        <v>59</v>
      </c>
      <c r="AB896" s="153"/>
      <c r="AC896" s="153"/>
      <c r="AD896" s="153"/>
      <c r="AE896" s="153"/>
      <c r="AF896" s="153"/>
      <c r="AG896" s="153"/>
      <c r="AH896" s="153"/>
      <c r="AI896" s="153"/>
      <c r="AJ896" s="153"/>
      <c r="AK896" s="153"/>
    </row>
    <row r="897" spans="1:37" s="85" customFormat="1" x14ac:dyDescent="0.25">
      <c r="B897" s="104"/>
      <c r="C897" s="173"/>
      <c r="E897" s="85" t="s">
        <v>239</v>
      </c>
      <c r="H897" s="85" t="s">
        <v>1015</v>
      </c>
      <c r="I897" s="200">
        <v>15</v>
      </c>
      <c r="J897" s="200">
        <v>25</v>
      </c>
      <c r="K897" s="200">
        <v>18</v>
      </c>
      <c r="L897" s="200">
        <v>27</v>
      </c>
      <c r="M897" s="200">
        <v>27</v>
      </c>
      <c r="N897" s="200">
        <v>33</v>
      </c>
      <c r="O897" s="200">
        <v>44</v>
      </c>
      <c r="P897" s="200">
        <v>32</v>
      </c>
      <c r="Q897" s="200">
        <v>26</v>
      </c>
      <c r="R897" s="200">
        <v>23</v>
      </c>
      <c r="S897" s="200">
        <v>23</v>
      </c>
      <c r="T897" s="200">
        <v>26</v>
      </c>
      <c r="U897" s="200">
        <v>32</v>
      </c>
      <c r="V897" s="200">
        <v>24</v>
      </c>
      <c r="W897" s="200">
        <v>20</v>
      </c>
      <c r="X897" s="200">
        <v>38</v>
      </c>
      <c r="Y897" s="201">
        <v>56</v>
      </c>
      <c r="Z897" s="201">
        <v>56</v>
      </c>
      <c r="AA897" s="200">
        <v>64</v>
      </c>
      <c r="AB897" s="200"/>
      <c r="AC897" s="200"/>
      <c r="AD897" s="200"/>
      <c r="AE897" s="200"/>
      <c r="AF897" s="200"/>
      <c r="AG897" s="200"/>
      <c r="AH897" s="200"/>
      <c r="AI897" s="200"/>
      <c r="AJ897" s="200"/>
      <c r="AK897" s="200"/>
    </row>
    <row r="898" spans="1:37" s="3" customFormat="1" x14ac:dyDescent="0.25">
      <c r="B898" s="4"/>
      <c r="J898" s="73"/>
      <c r="K898" s="73"/>
      <c r="L898" s="73"/>
      <c r="M898" s="73"/>
      <c r="N898" s="73"/>
    </row>
    <row r="899" spans="1:37" s="37" customFormat="1" ht="17.25" x14ac:dyDescent="0.3">
      <c r="A899" s="37" t="s">
        <v>10</v>
      </c>
    </row>
    <row r="900" spans="1:37" x14ac:dyDescent="0.25">
      <c r="B900" s="64" t="s">
        <v>31</v>
      </c>
      <c r="C900" t="s">
        <v>565</v>
      </c>
    </row>
    <row r="901" spans="1:37" x14ac:dyDescent="0.25">
      <c r="B901" s="64" t="s">
        <v>32</v>
      </c>
      <c r="C901" s="195" t="s">
        <v>326</v>
      </c>
      <c r="W901" s="59"/>
      <c r="X901" s="59"/>
      <c r="Y901" s="59"/>
      <c r="Z901" s="59"/>
    </row>
    <row r="902" spans="1:37" x14ac:dyDescent="0.25">
      <c r="B902" s="64"/>
      <c r="C902" s="195" t="s">
        <v>10</v>
      </c>
    </row>
    <row r="903" spans="1:37" s="223" customFormat="1" x14ac:dyDescent="0.25">
      <c r="B903" s="64"/>
      <c r="C903" s="268" t="s">
        <v>1000</v>
      </c>
    </row>
    <row r="904" spans="1:37" x14ac:dyDescent="0.25">
      <c r="B904" s="64" t="s">
        <v>331</v>
      </c>
      <c r="C904" s="5" t="s">
        <v>1541</v>
      </c>
    </row>
    <row r="905" spans="1:37" x14ac:dyDescent="0.25">
      <c r="B905" s="64" t="s">
        <v>332</v>
      </c>
      <c r="C905" t="s">
        <v>564</v>
      </c>
    </row>
    <row r="906" spans="1:37" x14ac:dyDescent="0.25">
      <c r="B906" s="64"/>
      <c r="C906" t="s">
        <v>566</v>
      </c>
    </row>
    <row r="907" spans="1:37" s="34" customFormat="1" ht="15.75" thickBot="1" x14ac:dyDescent="0.3">
      <c r="B907" s="65" t="s">
        <v>334</v>
      </c>
      <c r="C907" s="34" t="s">
        <v>1542</v>
      </c>
    </row>
    <row r="908" spans="1:37" s="13" customFormat="1" ht="15.75" thickTop="1" x14ac:dyDescent="0.25">
      <c r="B908" s="64" t="s">
        <v>34</v>
      </c>
      <c r="C908" s="15" t="s">
        <v>567</v>
      </c>
      <c r="H908" s="13" t="s">
        <v>1508</v>
      </c>
      <c r="I908" s="62"/>
      <c r="J908" s="62"/>
      <c r="K908" s="62"/>
      <c r="L908" s="62"/>
      <c r="M908" s="62"/>
      <c r="N908" s="62"/>
      <c r="O908" s="62"/>
      <c r="P908" s="62"/>
      <c r="Q908" s="62"/>
      <c r="R908" s="62"/>
      <c r="S908" s="62"/>
      <c r="T908" s="62"/>
      <c r="U908" s="62"/>
      <c r="V908" s="62"/>
      <c r="W908" s="62"/>
      <c r="X908" s="62"/>
      <c r="Y908" s="62"/>
      <c r="Z908" s="62"/>
      <c r="AA908" s="62"/>
      <c r="AB908" s="62"/>
      <c r="AC908" s="62"/>
      <c r="AD908" s="62"/>
      <c r="AE908" s="62"/>
      <c r="AF908" s="62"/>
      <c r="AG908" s="62"/>
      <c r="AH908" s="62"/>
      <c r="AI908" s="62"/>
      <c r="AJ908" s="62"/>
      <c r="AK908" s="62"/>
    </row>
    <row r="909" spans="1:37" s="9" customFormat="1" x14ac:dyDescent="0.25">
      <c r="B909" s="128"/>
      <c r="C909" s="51"/>
      <c r="D909" s="9" t="s">
        <v>314</v>
      </c>
      <c r="H909" s="9" t="s">
        <v>1508</v>
      </c>
      <c r="I909" s="134"/>
      <c r="J909" s="134"/>
      <c r="K909" s="134"/>
      <c r="L909" s="134"/>
      <c r="M909" s="134"/>
      <c r="N909" s="134">
        <v>0.52900000000000003</v>
      </c>
      <c r="O909" s="134">
        <v>0.54600000000000004</v>
      </c>
      <c r="P909" s="134">
        <v>0.48</v>
      </c>
      <c r="Q909" s="134">
        <v>0.42</v>
      </c>
      <c r="R909" s="134">
        <v>0.4</v>
      </c>
      <c r="S909" s="134">
        <v>0.42299999999999999</v>
      </c>
      <c r="T909" s="134">
        <v>0.42</v>
      </c>
      <c r="U909" s="134">
        <v>0.51</v>
      </c>
      <c r="V909" s="134">
        <v>0.53100000000000003</v>
      </c>
      <c r="W909" s="134">
        <v>0.53200000000000003</v>
      </c>
      <c r="X909" s="134">
        <v>0.58399999999999996</v>
      </c>
      <c r="Y909" s="134">
        <v>0.622</v>
      </c>
      <c r="Z909" s="134">
        <v>0.621</v>
      </c>
      <c r="AA909" s="138">
        <v>0.60799999999999998</v>
      </c>
      <c r="AB909" s="85"/>
      <c r="AC909" s="85"/>
      <c r="AD909" s="85"/>
      <c r="AE909" s="85"/>
      <c r="AF909" s="85"/>
      <c r="AG909" s="85"/>
      <c r="AH909" s="85"/>
      <c r="AI909" s="85"/>
      <c r="AJ909" s="85"/>
      <c r="AK909" s="85"/>
    </row>
    <row r="910" spans="1:37" s="9" customFormat="1" x14ac:dyDescent="0.25">
      <c r="B910" s="128"/>
      <c r="C910" s="51"/>
      <c r="D910" s="9" t="s">
        <v>315</v>
      </c>
      <c r="H910" s="9" t="s">
        <v>1508</v>
      </c>
      <c r="I910" s="134"/>
      <c r="J910" s="134"/>
      <c r="K910" s="134"/>
      <c r="L910" s="134"/>
      <c r="M910" s="134"/>
      <c r="N910" s="134"/>
      <c r="O910" s="134"/>
      <c r="P910" s="134"/>
      <c r="Q910" s="134">
        <v>0.54</v>
      </c>
      <c r="R910" s="134">
        <v>0.53</v>
      </c>
      <c r="S910" s="134">
        <v>0.60099999999999998</v>
      </c>
      <c r="T910" s="134">
        <v>0.66</v>
      </c>
      <c r="U910" s="134">
        <v>0.65</v>
      </c>
      <c r="V910" s="134">
        <v>0.65700000000000003</v>
      </c>
      <c r="W910" s="134">
        <v>0.63800000000000001</v>
      </c>
      <c r="X910" s="134">
        <v>0.64800000000000002</v>
      </c>
      <c r="Y910" s="134">
        <v>0.68400000000000005</v>
      </c>
      <c r="Z910" s="134">
        <v>0.77700000000000002</v>
      </c>
      <c r="AA910" s="138">
        <v>0.73899999999999999</v>
      </c>
      <c r="AB910" s="85"/>
      <c r="AC910" s="85"/>
      <c r="AD910" s="85"/>
      <c r="AE910" s="85"/>
      <c r="AF910" s="85"/>
      <c r="AG910" s="85"/>
      <c r="AH910" s="85"/>
      <c r="AI910" s="85"/>
      <c r="AJ910" s="85"/>
      <c r="AK910" s="85"/>
    </row>
    <row r="911" spans="1:37" s="9" customFormat="1" x14ac:dyDescent="0.25">
      <c r="B911" s="128"/>
      <c r="C911" s="51"/>
      <c r="D911" s="9" t="s">
        <v>316</v>
      </c>
      <c r="H911" s="9" t="s">
        <v>1508</v>
      </c>
      <c r="I911" s="134"/>
      <c r="J911" s="134"/>
      <c r="K911" s="134"/>
      <c r="L911" s="134"/>
      <c r="M911" s="134"/>
      <c r="N911" s="134"/>
      <c r="O911" s="134"/>
      <c r="P911" s="134"/>
      <c r="Q911" s="134">
        <v>0.46</v>
      </c>
      <c r="R911" s="134">
        <v>0.435</v>
      </c>
      <c r="S911" s="134">
        <v>0.46899999999999997</v>
      </c>
      <c r="T911" s="134">
        <v>0.5</v>
      </c>
      <c r="U911" s="134">
        <v>0.57999999999999996</v>
      </c>
      <c r="V911" s="134">
        <v>0.53300000000000003</v>
      </c>
      <c r="W911" s="134">
        <v>0.59599999999999997</v>
      </c>
      <c r="X911" s="134">
        <v>0.57999999999999996</v>
      </c>
      <c r="Y911" s="134">
        <v>0.56999999999999995</v>
      </c>
      <c r="Z911" s="134">
        <v>0.64200000000000002</v>
      </c>
      <c r="AA911" s="138">
        <v>0.36599999999999999</v>
      </c>
      <c r="AB911" s="85"/>
      <c r="AC911" s="85"/>
      <c r="AD911" s="85"/>
      <c r="AE911" s="85"/>
      <c r="AF911" s="85"/>
      <c r="AG911" s="85"/>
      <c r="AH911" s="85"/>
      <c r="AI911" s="85"/>
      <c r="AJ911" s="85"/>
      <c r="AK911" s="85"/>
    </row>
    <row r="912" spans="1:37" s="9" customFormat="1" x14ac:dyDescent="0.25">
      <c r="B912" s="128"/>
      <c r="C912" s="51"/>
      <c r="D912" s="9" t="s">
        <v>317</v>
      </c>
      <c r="H912" s="9" t="s">
        <v>1508</v>
      </c>
      <c r="I912" s="134"/>
      <c r="J912" s="134"/>
      <c r="K912" s="134"/>
      <c r="L912" s="134"/>
      <c r="M912" s="134"/>
      <c r="N912" s="134">
        <v>0.246</v>
      </c>
      <c r="O912" s="134">
        <v>0.217</v>
      </c>
      <c r="P912" s="134">
        <v>0.157</v>
      </c>
      <c r="Q912" s="134">
        <v>0.156</v>
      </c>
      <c r="R912" s="134">
        <v>0.13</v>
      </c>
      <c r="S912" s="134">
        <v>0.18</v>
      </c>
      <c r="T912" s="134">
        <v>0.16</v>
      </c>
      <c r="U912" s="134">
        <v>0.11</v>
      </c>
      <c r="V912" s="134">
        <v>0.154</v>
      </c>
      <c r="W912" s="134">
        <v>0.14299999999999999</v>
      </c>
      <c r="X912" s="134">
        <v>0.127</v>
      </c>
      <c r="Y912" s="134">
        <v>0.16400000000000001</v>
      </c>
      <c r="Z912" s="134">
        <v>0.185</v>
      </c>
      <c r="AA912" s="138">
        <v>4.1000000000000002E-2</v>
      </c>
      <c r="AB912" s="85"/>
      <c r="AC912" s="85"/>
      <c r="AD912" s="85"/>
      <c r="AE912" s="85"/>
      <c r="AF912" s="85"/>
      <c r="AG912" s="85"/>
      <c r="AH912" s="85"/>
      <c r="AI912" s="85"/>
      <c r="AJ912" s="85"/>
      <c r="AK912" s="85"/>
    </row>
    <row r="913" spans="1:37" s="9" customFormat="1" x14ac:dyDescent="0.25">
      <c r="B913" s="128"/>
      <c r="C913" s="51"/>
      <c r="D913" s="9" t="s">
        <v>318</v>
      </c>
      <c r="H913" s="9" t="s">
        <v>1508</v>
      </c>
      <c r="I913" s="134"/>
      <c r="J913" s="134"/>
      <c r="K913" s="134"/>
      <c r="L913" s="134"/>
      <c r="M913" s="134"/>
      <c r="N913" s="134"/>
      <c r="O913" s="134"/>
      <c r="P913" s="134"/>
      <c r="Q913" s="134">
        <v>0.34300000000000003</v>
      </c>
      <c r="R913" s="134">
        <v>0.34</v>
      </c>
      <c r="S913" s="134">
        <v>0.37</v>
      </c>
      <c r="T913" s="134">
        <v>0.32</v>
      </c>
      <c r="U913" s="134">
        <v>0.42</v>
      </c>
      <c r="V913" s="134">
        <v>0.443</v>
      </c>
      <c r="W913" s="134">
        <v>0.53600000000000003</v>
      </c>
      <c r="X913" s="134">
        <v>0.501</v>
      </c>
      <c r="Y913" s="134">
        <v>0.5</v>
      </c>
      <c r="Z913" s="134">
        <v>0.47799999999999998</v>
      </c>
      <c r="AA913" s="138">
        <v>0.113</v>
      </c>
      <c r="AB913" s="85"/>
      <c r="AC913" s="85"/>
      <c r="AD913" s="85"/>
      <c r="AE913" s="85"/>
      <c r="AF913" s="85"/>
      <c r="AG913" s="85"/>
      <c r="AH913" s="85"/>
      <c r="AI913" s="85"/>
      <c r="AJ913" s="85"/>
      <c r="AK913" s="85"/>
    </row>
    <row r="914" spans="1:37" s="9" customFormat="1" x14ac:dyDescent="0.25">
      <c r="B914" s="128"/>
      <c r="C914" s="51"/>
      <c r="D914" s="9" t="s">
        <v>319</v>
      </c>
      <c r="H914" s="9" t="s">
        <v>1508</v>
      </c>
      <c r="I914" s="134"/>
      <c r="J914" s="134"/>
      <c r="K914" s="134"/>
      <c r="L914" s="134"/>
      <c r="M914" s="134"/>
      <c r="N914" s="134"/>
      <c r="O914" s="134"/>
      <c r="P914" s="134"/>
      <c r="Q914" s="134">
        <v>0.77400000000000002</v>
      </c>
      <c r="R914" s="134">
        <v>0.66700000000000004</v>
      </c>
      <c r="S914" s="134">
        <v>0.74</v>
      </c>
      <c r="T914" s="134">
        <v>0.71</v>
      </c>
      <c r="U914" s="134">
        <v>0.79</v>
      </c>
      <c r="V914" s="134">
        <v>0.81899999999999995</v>
      </c>
      <c r="W914" s="134">
        <v>0.86599999999999999</v>
      </c>
      <c r="X914" s="134">
        <v>0.81599999999999995</v>
      </c>
      <c r="Y914" s="134">
        <v>0.80700000000000005</v>
      </c>
      <c r="Z914" s="134">
        <v>0.81299999999999994</v>
      </c>
      <c r="AA914" s="138">
        <v>0.42599999999999999</v>
      </c>
      <c r="AB914" s="85"/>
      <c r="AC914" s="85"/>
      <c r="AD914" s="85"/>
      <c r="AE914" s="85"/>
      <c r="AF914" s="85"/>
      <c r="AG914" s="85"/>
      <c r="AH914" s="85"/>
      <c r="AI914" s="85"/>
      <c r="AJ914" s="85"/>
      <c r="AK914" s="85"/>
    </row>
    <row r="915" spans="1:37" s="9" customFormat="1" x14ac:dyDescent="0.25">
      <c r="B915" s="128"/>
      <c r="C915" s="51"/>
      <c r="D915" s="9" t="s">
        <v>320</v>
      </c>
      <c r="H915" s="9" t="s">
        <v>1508</v>
      </c>
      <c r="I915" s="134"/>
      <c r="J915" s="134"/>
      <c r="K915" s="134"/>
      <c r="L915" s="134"/>
      <c r="M915" s="134"/>
      <c r="N915" s="134">
        <v>0.95399999999999996</v>
      </c>
      <c r="O915" s="134">
        <v>0.86599999999999999</v>
      </c>
      <c r="P915" s="134">
        <v>0.83</v>
      </c>
      <c r="Q915" s="134">
        <v>0.88500000000000001</v>
      </c>
      <c r="R915" s="134">
        <v>0.88500000000000001</v>
      </c>
      <c r="S915" s="134">
        <v>0.87</v>
      </c>
      <c r="T915" s="134">
        <v>0.82</v>
      </c>
      <c r="U915" s="134">
        <v>0.88</v>
      </c>
      <c r="V915" s="134">
        <v>0.9</v>
      </c>
      <c r="W915" s="134">
        <v>0.92300000000000004</v>
      </c>
      <c r="X915" s="134">
        <v>0.86899999999999999</v>
      </c>
      <c r="Y915" s="134">
        <v>0.877</v>
      </c>
      <c r="Z915" s="134">
        <v>0.84099999999999997</v>
      </c>
      <c r="AA915" s="138">
        <v>0.70699999999999996</v>
      </c>
      <c r="AB915" s="85"/>
      <c r="AC915" s="85"/>
      <c r="AD915" s="85"/>
      <c r="AE915" s="85"/>
      <c r="AF915" s="85"/>
      <c r="AG915" s="85"/>
      <c r="AH915" s="85"/>
      <c r="AI915" s="85"/>
      <c r="AJ915" s="85"/>
      <c r="AK915" s="85"/>
    </row>
    <row r="916" spans="1:37" s="9" customFormat="1" x14ac:dyDescent="0.25">
      <c r="B916" s="128"/>
      <c r="C916" s="51"/>
      <c r="D916" s="9" t="s">
        <v>321</v>
      </c>
      <c r="H916" s="9" t="s">
        <v>1508</v>
      </c>
      <c r="I916" s="134"/>
      <c r="J916" s="134"/>
      <c r="K916" s="134"/>
      <c r="L916" s="134"/>
      <c r="M916" s="134"/>
      <c r="N916" s="134"/>
      <c r="O916" s="134"/>
      <c r="P916" s="134"/>
      <c r="Q916" s="134">
        <v>0.88100000000000001</v>
      </c>
      <c r="R916" s="134">
        <v>0.88300000000000001</v>
      </c>
      <c r="S916" s="134">
        <v>0.86</v>
      </c>
      <c r="T916" s="134">
        <v>0.81</v>
      </c>
      <c r="U916" s="134">
        <v>0.88</v>
      </c>
      <c r="V916" s="134">
        <v>0.85899999999999999</v>
      </c>
      <c r="W916" s="134">
        <v>0.872</v>
      </c>
      <c r="X916" s="134">
        <v>0.878</v>
      </c>
      <c r="Y916" s="134">
        <v>0.85499999999999998</v>
      </c>
      <c r="Z916" s="134">
        <v>0.86</v>
      </c>
      <c r="AA916" s="138">
        <v>0.71099999999999997</v>
      </c>
      <c r="AB916" s="85"/>
      <c r="AC916" s="85"/>
      <c r="AD916" s="85"/>
      <c r="AE916" s="85"/>
      <c r="AF916" s="85"/>
      <c r="AG916" s="85"/>
      <c r="AH916" s="85"/>
      <c r="AI916" s="85"/>
      <c r="AJ916" s="85"/>
      <c r="AK916" s="85"/>
    </row>
    <row r="917" spans="1:37" s="9" customFormat="1" x14ac:dyDescent="0.25">
      <c r="B917" s="128"/>
      <c r="C917" s="51"/>
      <c r="D917" s="9" t="s">
        <v>322</v>
      </c>
      <c r="H917" s="9" t="s">
        <v>1508</v>
      </c>
      <c r="I917" s="134"/>
      <c r="J917" s="134"/>
      <c r="K917" s="134"/>
      <c r="L917" s="134"/>
      <c r="M917" s="134"/>
      <c r="N917" s="134"/>
      <c r="O917" s="134"/>
      <c r="P917" s="134"/>
      <c r="Q917" s="134">
        <v>0.82199999999999995</v>
      </c>
      <c r="R917" s="134">
        <v>0.83</v>
      </c>
      <c r="S917" s="134">
        <v>0.83</v>
      </c>
      <c r="T917" s="134">
        <v>0.81</v>
      </c>
      <c r="U917" s="134">
        <v>0.78</v>
      </c>
      <c r="V917" s="134">
        <v>0.81799999999999995</v>
      </c>
      <c r="W917" s="134">
        <v>0.84699999999999998</v>
      </c>
      <c r="X917" s="134">
        <v>0.84899999999999998</v>
      </c>
      <c r="Y917" s="134">
        <v>0.83599999999999997</v>
      </c>
      <c r="Z917" s="134">
        <v>0.83099999999999996</v>
      </c>
      <c r="AA917" s="138">
        <v>0.72199999999999998</v>
      </c>
      <c r="AB917" s="85"/>
      <c r="AC917" s="85"/>
      <c r="AD917" s="85"/>
      <c r="AE917" s="85"/>
      <c r="AF917" s="85"/>
      <c r="AG917" s="85"/>
      <c r="AH917" s="85"/>
      <c r="AI917" s="85"/>
      <c r="AJ917" s="85"/>
      <c r="AK917" s="85"/>
    </row>
    <row r="918" spans="1:37" s="9" customFormat="1" x14ac:dyDescent="0.25">
      <c r="B918" s="128"/>
      <c r="C918" s="51"/>
      <c r="D918" s="9" t="s">
        <v>323</v>
      </c>
      <c r="H918" s="9" t="s">
        <v>1508</v>
      </c>
      <c r="I918" s="134"/>
      <c r="J918" s="134"/>
      <c r="K918" s="134"/>
      <c r="L918" s="134"/>
      <c r="M918" s="134"/>
      <c r="N918" s="134">
        <v>0.501</v>
      </c>
      <c r="O918" s="134">
        <v>0.4</v>
      </c>
      <c r="P918" s="134">
        <v>0.32100000000000001</v>
      </c>
      <c r="Q918" s="134">
        <v>0.37</v>
      </c>
      <c r="R918" s="134">
        <v>0.34499999999999997</v>
      </c>
      <c r="S918" s="134">
        <v>0.36</v>
      </c>
      <c r="T918" s="134">
        <v>0.31</v>
      </c>
      <c r="U918" s="134">
        <v>0.41</v>
      </c>
      <c r="V918" s="134">
        <v>0.40600000000000003</v>
      </c>
      <c r="W918" s="134">
        <v>0.432</v>
      </c>
      <c r="X918" s="134">
        <v>0.45500000000000002</v>
      </c>
      <c r="Y918" s="134">
        <v>0.45300000000000001</v>
      </c>
      <c r="Z918" s="134">
        <v>0.47399999999999998</v>
      </c>
      <c r="AA918" s="138">
        <v>0.64700000000000002</v>
      </c>
      <c r="AB918" s="85"/>
      <c r="AC918" s="85"/>
      <c r="AD918" s="85"/>
      <c r="AE918" s="85"/>
      <c r="AF918" s="85"/>
      <c r="AG918" s="85"/>
      <c r="AH918" s="85"/>
      <c r="AI918" s="85"/>
      <c r="AJ918" s="85"/>
      <c r="AK918" s="85"/>
    </row>
    <row r="919" spans="1:37" s="9" customFormat="1" x14ac:dyDescent="0.25">
      <c r="B919" s="128"/>
      <c r="C919" s="51"/>
      <c r="D919" s="9" t="s">
        <v>324</v>
      </c>
      <c r="H919" s="9" t="s">
        <v>1508</v>
      </c>
      <c r="I919" s="134"/>
      <c r="J919" s="134"/>
      <c r="K919" s="134"/>
      <c r="L919" s="134"/>
      <c r="M919" s="134"/>
      <c r="N919" s="134"/>
      <c r="O919" s="134"/>
      <c r="P919" s="134"/>
      <c r="Q919" s="134">
        <v>0.15</v>
      </c>
      <c r="R919" s="134">
        <v>0.129</v>
      </c>
      <c r="S919" s="134">
        <v>0.17</v>
      </c>
      <c r="T919" s="134">
        <v>0.14000000000000001</v>
      </c>
      <c r="U919" s="134">
        <v>0.14000000000000001</v>
      </c>
      <c r="V919" s="134">
        <v>0.16200000000000001</v>
      </c>
      <c r="W919" s="134">
        <v>0.13900000000000001</v>
      </c>
      <c r="X919" s="134">
        <v>0.14699999999999999</v>
      </c>
      <c r="Y919" s="134">
        <v>0.154</v>
      </c>
      <c r="Z919" s="134">
        <v>0.14499999999999999</v>
      </c>
      <c r="AA919" s="138">
        <v>0.20699999999999999</v>
      </c>
      <c r="AB919" s="85"/>
      <c r="AC919" s="85"/>
      <c r="AD919" s="85"/>
      <c r="AE919" s="85"/>
      <c r="AF919" s="85"/>
      <c r="AG919" s="85"/>
      <c r="AH919" s="85"/>
      <c r="AI919" s="85"/>
      <c r="AJ919" s="85"/>
      <c r="AK919" s="85"/>
    </row>
    <row r="920" spans="1:37" s="9" customFormat="1" x14ac:dyDescent="0.25">
      <c r="B920" s="128"/>
      <c r="C920" s="51"/>
      <c r="D920" s="9" t="s">
        <v>325</v>
      </c>
      <c r="H920" s="9" t="s">
        <v>1508</v>
      </c>
      <c r="I920" s="134"/>
      <c r="J920" s="134"/>
      <c r="K920" s="134"/>
      <c r="L920" s="134"/>
      <c r="M920" s="134"/>
      <c r="N920" s="134"/>
      <c r="O920" s="134"/>
      <c r="P920" s="134"/>
      <c r="Q920" s="134">
        <v>0.3</v>
      </c>
      <c r="R920" s="134">
        <v>0.307</v>
      </c>
      <c r="S920" s="134">
        <v>0.32</v>
      </c>
      <c r="T920" s="134">
        <v>0.34</v>
      </c>
      <c r="U920" s="134">
        <v>0.43</v>
      </c>
      <c r="V920" s="134">
        <v>0.43</v>
      </c>
      <c r="W920" s="134">
        <v>0.46800000000000003</v>
      </c>
      <c r="X920" s="134">
        <v>0.46899999999999997</v>
      </c>
      <c r="Y920" s="134">
        <v>0.42</v>
      </c>
      <c r="Z920" s="134">
        <v>0.41699999999999998</v>
      </c>
      <c r="AA920" s="138">
        <v>0.498</v>
      </c>
      <c r="AB920" s="85"/>
      <c r="AC920" s="85"/>
      <c r="AD920" s="85"/>
      <c r="AE920" s="85"/>
      <c r="AF920" s="85"/>
      <c r="AG920" s="85"/>
      <c r="AH920" s="85"/>
      <c r="AI920" s="85"/>
      <c r="AJ920" s="85"/>
      <c r="AK920" s="85"/>
    </row>
    <row r="921" spans="1:37" s="3" customFormat="1" x14ac:dyDescent="0.25">
      <c r="B921" s="4"/>
      <c r="J921" s="73"/>
      <c r="K921" s="73"/>
      <c r="L921" s="73"/>
      <c r="M921" s="73"/>
      <c r="N921" s="73"/>
    </row>
    <row r="922" spans="1:37" s="37" customFormat="1" ht="17.25" x14ac:dyDescent="0.3">
      <c r="A922" s="37" t="s">
        <v>569</v>
      </c>
    </row>
    <row r="923" spans="1:37" x14ac:dyDescent="0.25">
      <c r="B923" s="64" t="s">
        <v>31</v>
      </c>
      <c r="C923" t="s">
        <v>570</v>
      </c>
    </row>
    <row r="924" spans="1:37" x14ac:dyDescent="0.25">
      <c r="B924" s="64" t="s">
        <v>32</v>
      </c>
      <c r="C924" s="195" t="s">
        <v>326</v>
      </c>
    </row>
    <row r="925" spans="1:37" s="223" customFormat="1" x14ac:dyDescent="0.25">
      <c r="B925" s="64"/>
      <c r="C925" s="268" t="s">
        <v>1000</v>
      </c>
    </row>
    <row r="926" spans="1:37" x14ac:dyDescent="0.25">
      <c r="B926" s="64" t="s">
        <v>331</v>
      </c>
      <c r="C926" s="5" t="s">
        <v>593</v>
      </c>
    </row>
    <row r="927" spans="1:37" x14ac:dyDescent="0.25">
      <c r="B927" s="64"/>
      <c r="C927" s="2" t="s">
        <v>594</v>
      </c>
    </row>
    <row r="928" spans="1:37" x14ac:dyDescent="0.25">
      <c r="B928" s="64"/>
      <c r="C928" s="2" t="s">
        <v>595</v>
      </c>
    </row>
    <row r="929" spans="2:37" x14ac:dyDescent="0.25">
      <c r="B929" s="64" t="s">
        <v>332</v>
      </c>
      <c r="C929" t="s">
        <v>571</v>
      </c>
    </row>
    <row r="930" spans="2:37" s="34" customFormat="1" ht="15.75" thickBot="1" x14ac:dyDescent="0.3">
      <c r="B930" s="65" t="s">
        <v>334</v>
      </c>
      <c r="C930" s="34" t="s">
        <v>596</v>
      </c>
    </row>
    <row r="931" spans="2:37" s="13" customFormat="1" ht="15.75" thickTop="1" x14ac:dyDescent="0.25">
      <c r="B931" s="64" t="s">
        <v>34</v>
      </c>
      <c r="C931" s="15" t="s">
        <v>568</v>
      </c>
      <c r="H931" s="13" t="s">
        <v>1507</v>
      </c>
      <c r="I931" s="62"/>
      <c r="J931" s="62"/>
      <c r="K931" s="62"/>
      <c r="L931" s="62"/>
      <c r="M931" s="62"/>
      <c r="N931" s="62"/>
      <c r="O931" s="62"/>
      <c r="P931" s="62"/>
      <c r="Q931" s="62">
        <v>30274</v>
      </c>
      <c r="R931" s="62">
        <v>26838</v>
      </c>
      <c r="S931" s="62">
        <v>34491</v>
      </c>
      <c r="T931" s="62">
        <v>30326</v>
      </c>
      <c r="U931" s="62">
        <v>17454</v>
      </c>
      <c r="V931" s="62">
        <v>24222</v>
      </c>
      <c r="W931" s="62">
        <v>27196</v>
      </c>
      <c r="X931" s="62">
        <f t="shared" ref="X931:AK931" si="169">SUM(X932:X949)</f>
        <v>29318</v>
      </c>
      <c r="Y931" s="62">
        <f t="shared" si="169"/>
        <v>28718</v>
      </c>
      <c r="Z931" s="62">
        <f t="shared" si="169"/>
        <v>27765</v>
      </c>
      <c r="AA931" s="62">
        <f t="shared" si="169"/>
        <v>38748</v>
      </c>
      <c r="AB931" s="62">
        <f t="shared" si="169"/>
        <v>0</v>
      </c>
      <c r="AC931" s="62">
        <f t="shared" si="169"/>
        <v>0</v>
      </c>
      <c r="AD931" s="62">
        <f t="shared" si="169"/>
        <v>0</v>
      </c>
      <c r="AE931" s="62">
        <f t="shared" si="169"/>
        <v>0</v>
      </c>
      <c r="AF931" s="62">
        <f t="shared" si="169"/>
        <v>0</v>
      </c>
      <c r="AG931" s="62">
        <f t="shared" si="169"/>
        <v>0</v>
      </c>
      <c r="AH931" s="62">
        <f t="shared" si="169"/>
        <v>0</v>
      </c>
      <c r="AI931" s="62">
        <f t="shared" si="169"/>
        <v>0</v>
      </c>
      <c r="AJ931" s="62">
        <f t="shared" si="169"/>
        <v>0</v>
      </c>
      <c r="AK931" s="62">
        <f t="shared" si="169"/>
        <v>0</v>
      </c>
    </row>
    <row r="932" spans="2:37" s="9" customFormat="1" x14ac:dyDescent="0.25">
      <c r="B932" s="128"/>
      <c r="C932" s="51"/>
      <c r="D932" t="s">
        <v>572</v>
      </c>
      <c r="H932" s="9" t="s">
        <v>1507</v>
      </c>
      <c r="I932" s="59"/>
      <c r="J932" s="59"/>
      <c r="K932" s="59"/>
      <c r="L932" s="59"/>
      <c r="M932" s="59"/>
      <c r="N932" s="59"/>
      <c r="O932" s="59"/>
      <c r="P932" s="59"/>
      <c r="Q932" s="59"/>
      <c r="R932" s="59"/>
      <c r="S932" s="59"/>
      <c r="T932" s="59"/>
      <c r="U932" s="59"/>
      <c r="V932" s="59"/>
      <c r="W932" s="59"/>
      <c r="X932" s="59">
        <v>4170</v>
      </c>
      <c r="Y932" s="59">
        <v>4130</v>
      </c>
      <c r="Z932" s="59">
        <v>4554</v>
      </c>
      <c r="AA932" s="59">
        <v>4698</v>
      </c>
      <c r="AB932" s="59"/>
      <c r="AC932" s="59"/>
      <c r="AD932" s="59"/>
      <c r="AE932" s="59"/>
      <c r="AF932" s="59"/>
      <c r="AG932" s="59"/>
      <c r="AH932" s="59"/>
      <c r="AI932" s="59"/>
      <c r="AJ932" s="59"/>
      <c r="AK932" s="59"/>
    </row>
    <row r="933" spans="2:37" x14ac:dyDescent="0.25">
      <c r="D933" t="s">
        <v>573</v>
      </c>
      <c r="H933" t="s">
        <v>1507</v>
      </c>
      <c r="I933" s="59"/>
      <c r="J933" s="59"/>
      <c r="K933" s="59"/>
      <c r="L933" s="59"/>
      <c r="M933" s="59"/>
      <c r="N933" s="59"/>
      <c r="O933" s="59"/>
      <c r="P933" s="59"/>
      <c r="Q933" s="59"/>
      <c r="R933" s="59"/>
      <c r="S933" s="59"/>
      <c r="T933" s="59"/>
      <c r="U933" s="59"/>
      <c r="V933" s="59"/>
      <c r="W933" s="59"/>
      <c r="X933" s="59">
        <v>1087</v>
      </c>
      <c r="Y933" s="59">
        <v>1040</v>
      </c>
      <c r="Z933" s="59">
        <v>965</v>
      </c>
      <c r="AA933" s="59">
        <v>1571</v>
      </c>
      <c r="AB933" s="59"/>
      <c r="AC933" s="59"/>
      <c r="AD933" s="59"/>
      <c r="AE933" s="59"/>
      <c r="AF933" s="59"/>
      <c r="AG933" s="59"/>
      <c r="AH933" s="59"/>
      <c r="AI933" s="59"/>
      <c r="AJ933" s="59"/>
      <c r="AK933" s="59"/>
    </row>
    <row r="934" spans="2:37" x14ac:dyDescent="0.25">
      <c r="D934" t="s">
        <v>574</v>
      </c>
      <c r="H934" t="s">
        <v>1507</v>
      </c>
      <c r="I934" s="59"/>
      <c r="J934" s="59"/>
      <c r="K934" s="59"/>
      <c r="L934" s="59"/>
      <c r="M934" s="59"/>
      <c r="N934" s="59"/>
      <c r="O934" s="59"/>
      <c r="P934" s="59"/>
      <c r="Q934" s="59"/>
      <c r="R934" s="59"/>
      <c r="S934" s="59"/>
      <c r="T934" s="59"/>
      <c r="U934" s="59"/>
      <c r="V934" s="59"/>
      <c r="W934" s="59"/>
      <c r="X934" s="59">
        <v>1954</v>
      </c>
      <c r="Y934" s="59">
        <v>3152</v>
      </c>
      <c r="Z934" s="59">
        <v>2799</v>
      </c>
      <c r="AA934" s="59">
        <v>3327</v>
      </c>
      <c r="AB934" s="59"/>
      <c r="AC934" s="59"/>
      <c r="AD934" s="59"/>
      <c r="AE934" s="59"/>
      <c r="AF934" s="59"/>
      <c r="AG934" s="59"/>
      <c r="AH934" s="59"/>
      <c r="AI934" s="59"/>
      <c r="AJ934" s="59"/>
      <c r="AK934" s="59"/>
    </row>
    <row r="935" spans="2:37" x14ac:dyDescent="0.25">
      <c r="D935" t="s">
        <v>575</v>
      </c>
      <c r="H935" t="s">
        <v>1507</v>
      </c>
      <c r="I935" s="59"/>
      <c r="J935" s="59"/>
      <c r="K935" s="59"/>
      <c r="L935" s="59"/>
      <c r="M935" s="59"/>
      <c r="N935" s="59"/>
      <c r="O935" s="59"/>
      <c r="P935" s="59"/>
      <c r="Q935" s="59"/>
      <c r="R935" s="59"/>
      <c r="S935" s="59"/>
      <c r="T935" s="59"/>
      <c r="U935" s="59"/>
      <c r="V935" s="59"/>
      <c r="W935" s="59"/>
      <c r="X935" s="59">
        <v>4041</v>
      </c>
      <c r="Y935" s="59">
        <v>3751</v>
      </c>
      <c r="Z935" s="59">
        <v>3331</v>
      </c>
      <c r="AA935" s="59">
        <v>4513</v>
      </c>
      <c r="AB935" s="59"/>
      <c r="AC935" s="59"/>
      <c r="AD935" s="59"/>
      <c r="AE935" s="59"/>
      <c r="AF935" s="59"/>
      <c r="AG935" s="59"/>
      <c r="AH935" s="59"/>
      <c r="AI935" s="59"/>
      <c r="AJ935" s="59"/>
      <c r="AK935" s="59"/>
    </row>
    <row r="936" spans="2:37" x14ac:dyDescent="0.25">
      <c r="D936" t="s">
        <v>576</v>
      </c>
      <c r="H936" t="s">
        <v>1507</v>
      </c>
      <c r="I936" s="59"/>
      <c r="J936" s="59"/>
      <c r="K936" s="59"/>
      <c r="L936" s="59"/>
      <c r="M936" s="59"/>
      <c r="N936" s="59"/>
      <c r="O936" s="59"/>
      <c r="P936" s="59"/>
      <c r="Q936" s="59"/>
      <c r="R936" s="59"/>
      <c r="S936" s="59"/>
      <c r="T936" s="59"/>
      <c r="U936" s="59"/>
      <c r="V936" s="59"/>
      <c r="W936" s="59"/>
      <c r="X936" s="59">
        <v>2112</v>
      </c>
      <c r="Y936" s="59">
        <v>2096</v>
      </c>
      <c r="Z936" s="59">
        <v>1949</v>
      </c>
      <c r="AA936" s="59">
        <v>2754</v>
      </c>
      <c r="AB936" s="59"/>
      <c r="AC936" s="59"/>
      <c r="AD936" s="59"/>
      <c r="AE936" s="59"/>
      <c r="AF936" s="59"/>
      <c r="AG936" s="59"/>
      <c r="AH936" s="59"/>
      <c r="AI936" s="59"/>
      <c r="AJ936" s="59"/>
      <c r="AK936" s="59"/>
    </row>
    <row r="937" spans="2:37" x14ac:dyDescent="0.25">
      <c r="D937" t="s">
        <v>577</v>
      </c>
      <c r="H937" t="s">
        <v>1507</v>
      </c>
      <c r="I937" s="59"/>
      <c r="J937" s="59"/>
      <c r="K937" s="59"/>
      <c r="L937" s="59"/>
      <c r="M937" s="59"/>
      <c r="N937" s="59"/>
      <c r="O937" s="59"/>
      <c r="P937" s="59"/>
      <c r="Q937" s="59"/>
      <c r="R937" s="59"/>
      <c r="S937" s="59"/>
      <c r="T937" s="59"/>
      <c r="U937" s="59"/>
      <c r="V937" s="59"/>
      <c r="W937" s="59"/>
      <c r="X937" s="59">
        <v>1100</v>
      </c>
      <c r="Y937" s="59">
        <v>1101</v>
      </c>
      <c r="Z937" s="59">
        <v>1084</v>
      </c>
      <c r="AA937" s="59">
        <v>818</v>
      </c>
      <c r="AB937" s="59"/>
      <c r="AC937" s="59"/>
      <c r="AD937" s="59"/>
      <c r="AE937" s="59"/>
      <c r="AF937" s="59"/>
      <c r="AG937" s="59"/>
      <c r="AH937" s="59"/>
      <c r="AI937" s="59"/>
      <c r="AJ937" s="59"/>
      <c r="AK937" s="59"/>
    </row>
    <row r="938" spans="2:37" x14ac:dyDescent="0.25">
      <c r="D938" t="s">
        <v>578</v>
      </c>
      <c r="H938" t="s">
        <v>1507</v>
      </c>
      <c r="I938" s="59"/>
      <c r="J938" s="59"/>
      <c r="K938" s="59"/>
      <c r="L938" s="59"/>
      <c r="M938" s="59"/>
      <c r="N938" s="59"/>
      <c r="O938" s="59"/>
      <c r="P938" s="59"/>
      <c r="Q938" s="59"/>
      <c r="R938" s="59"/>
      <c r="S938" s="59"/>
      <c r="T938" s="59"/>
      <c r="U938" s="59"/>
      <c r="V938" s="59"/>
      <c r="W938" s="59"/>
      <c r="X938" s="59">
        <v>2137</v>
      </c>
      <c r="Y938" s="59">
        <v>1872</v>
      </c>
      <c r="Z938" s="59">
        <v>2023</v>
      </c>
      <c r="AA938" s="59">
        <v>2475</v>
      </c>
      <c r="AB938" s="59"/>
      <c r="AC938" s="59"/>
      <c r="AD938" s="59"/>
      <c r="AE938" s="59"/>
      <c r="AF938" s="59"/>
      <c r="AG938" s="59"/>
      <c r="AH938" s="59"/>
      <c r="AI938" s="59"/>
      <c r="AJ938" s="59"/>
      <c r="AK938" s="59"/>
    </row>
    <row r="939" spans="2:37" x14ac:dyDescent="0.25">
      <c r="D939" t="s">
        <v>579</v>
      </c>
      <c r="H939" t="s">
        <v>1507</v>
      </c>
      <c r="I939" s="59"/>
      <c r="J939" s="59"/>
      <c r="K939" s="59"/>
      <c r="L939" s="59"/>
      <c r="M939" s="59"/>
      <c r="N939" s="59"/>
      <c r="O939" s="59"/>
      <c r="P939" s="59"/>
      <c r="Q939" s="59"/>
      <c r="R939" s="59"/>
      <c r="S939" s="59"/>
      <c r="T939" s="59"/>
      <c r="U939" s="59"/>
      <c r="V939" s="59"/>
      <c r="W939" s="59"/>
      <c r="X939" s="59">
        <v>580</v>
      </c>
      <c r="Y939" s="59">
        <v>557</v>
      </c>
      <c r="Z939" s="59">
        <v>366</v>
      </c>
      <c r="AA939" s="59">
        <v>428</v>
      </c>
      <c r="AB939" s="59"/>
      <c r="AC939" s="59"/>
      <c r="AD939" s="59"/>
      <c r="AE939" s="59"/>
      <c r="AF939" s="59"/>
      <c r="AG939" s="59"/>
      <c r="AH939" s="59"/>
      <c r="AI939" s="59"/>
      <c r="AJ939" s="59"/>
      <c r="AK939" s="59"/>
    </row>
    <row r="940" spans="2:37" x14ac:dyDescent="0.25">
      <c r="D940" t="s">
        <v>580</v>
      </c>
      <c r="H940" t="s">
        <v>1507</v>
      </c>
      <c r="I940" s="59"/>
      <c r="J940" s="59"/>
      <c r="K940" s="59"/>
      <c r="L940" s="59"/>
      <c r="M940" s="59"/>
      <c r="N940" s="59"/>
      <c r="O940" s="59"/>
      <c r="P940" s="59"/>
      <c r="Q940" s="59"/>
      <c r="R940" s="59"/>
      <c r="S940" s="59"/>
      <c r="T940" s="59"/>
      <c r="U940" s="59"/>
      <c r="V940" s="59"/>
      <c r="W940" s="59"/>
      <c r="X940" s="59">
        <v>1734</v>
      </c>
      <c r="Y940" s="59">
        <v>1690</v>
      </c>
      <c r="Z940" s="59">
        <v>1892</v>
      </c>
      <c r="AA940" s="59">
        <v>1835</v>
      </c>
      <c r="AB940" s="59"/>
      <c r="AC940" s="59"/>
      <c r="AD940" s="59"/>
      <c r="AE940" s="59"/>
      <c r="AF940" s="59"/>
      <c r="AG940" s="59"/>
      <c r="AH940" s="59"/>
      <c r="AI940" s="59"/>
      <c r="AJ940" s="59"/>
      <c r="AK940" s="59"/>
    </row>
    <row r="941" spans="2:37" x14ac:dyDescent="0.25">
      <c r="D941" t="s">
        <v>581</v>
      </c>
      <c r="H941" t="s">
        <v>1507</v>
      </c>
      <c r="I941" s="59"/>
      <c r="J941" s="59"/>
      <c r="K941" s="59"/>
      <c r="L941" s="59"/>
      <c r="M941" s="59"/>
      <c r="N941" s="59"/>
      <c r="O941" s="59"/>
      <c r="P941" s="59"/>
      <c r="Q941" s="59"/>
      <c r="R941" s="59"/>
      <c r="S941" s="59"/>
      <c r="T941" s="59"/>
      <c r="U941" s="59"/>
      <c r="V941" s="59"/>
      <c r="W941" s="59"/>
      <c r="X941" s="59">
        <v>4750</v>
      </c>
      <c r="Y941" s="59">
        <v>4715</v>
      </c>
      <c r="Z941" s="59">
        <v>3807</v>
      </c>
      <c r="AA941" s="59">
        <v>6592</v>
      </c>
      <c r="AB941" s="59"/>
      <c r="AC941" s="59"/>
      <c r="AD941" s="59"/>
      <c r="AE941" s="59"/>
      <c r="AF941" s="59"/>
      <c r="AG941" s="59"/>
      <c r="AH941" s="59"/>
      <c r="AI941" s="59"/>
      <c r="AJ941" s="59"/>
      <c r="AK941" s="59"/>
    </row>
    <row r="942" spans="2:37" x14ac:dyDescent="0.25">
      <c r="D942" t="s">
        <v>582</v>
      </c>
      <c r="H942" t="s">
        <v>1507</v>
      </c>
      <c r="I942" s="59"/>
      <c r="J942" s="59"/>
      <c r="K942" s="59"/>
      <c r="L942" s="59"/>
      <c r="M942" s="59"/>
      <c r="N942" s="59"/>
      <c r="O942" s="59"/>
      <c r="P942" s="59"/>
      <c r="Q942" s="59"/>
      <c r="R942" s="59"/>
      <c r="S942" s="59"/>
      <c r="T942" s="59"/>
      <c r="U942" s="59"/>
      <c r="V942" s="59"/>
      <c r="W942" s="59"/>
      <c r="X942" s="59">
        <v>0</v>
      </c>
      <c r="Y942" s="59">
        <v>0</v>
      </c>
      <c r="Z942" s="59">
        <v>0</v>
      </c>
      <c r="AA942" s="59">
        <v>0</v>
      </c>
      <c r="AB942" s="59"/>
      <c r="AC942" s="59"/>
      <c r="AD942" s="59"/>
      <c r="AE942" s="59"/>
      <c r="AF942" s="59"/>
      <c r="AG942" s="59"/>
      <c r="AH942" s="59"/>
      <c r="AI942" s="59"/>
      <c r="AJ942" s="59"/>
      <c r="AK942" s="59"/>
    </row>
    <row r="943" spans="2:37" x14ac:dyDescent="0.25">
      <c r="D943" t="s">
        <v>583</v>
      </c>
      <c r="H943" t="s">
        <v>1507</v>
      </c>
      <c r="I943" s="59"/>
      <c r="J943" s="59"/>
      <c r="K943" s="59"/>
      <c r="L943" s="59"/>
      <c r="M943" s="59"/>
      <c r="N943" s="59"/>
      <c r="O943" s="59"/>
      <c r="P943" s="59"/>
      <c r="Q943" s="59"/>
      <c r="R943" s="59"/>
      <c r="S943" s="59"/>
      <c r="T943" s="59"/>
      <c r="U943" s="59"/>
      <c r="V943" s="59"/>
      <c r="W943" s="59"/>
      <c r="X943" s="59">
        <v>908</v>
      </c>
      <c r="Y943" s="59">
        <v>743</v>
      </c>
      <c r="Z943" s="59">
        <v>663</v>
      </c>
      <c r="AA943" s="59">
        <v>1022</v>
      </c>
      <c r="AB943" s="59"/>
      <c r="AC943" s="59"/>
      <c r="AD943" s="59"/>
      <c r="AE943" s="59"/>
      <c r="AF943" s="59"/>
      <c r="AG943" s="59"/>
      <c r="AH943" s="59"/>
      <c r="AI943" s="59"/>
      <c r="AJ943" s="59"/>
      <c r="AK943" s="59"/>
    </row>
    <row r="944" spans="2:37" x14ac:dyDescent="0.25">
      <c r="D944" t="s">
        <v>584</v>
      </c>
      <c r="H944" t="s">
        <v>1507</v>
      </c>
      <c r="I944" s="59"/>
      <c r="J944" s="59"/>
      <c r="K944" s="59"/>
      <c r="L944" s="59"/>
      <c r="M944" s="59"/>
      <c r="N944" s="59"/>
      <c r="O944" s="59"/>
      <c r="P944" s="59"/>
      <c r="Q944" s="59"/>
      <c r="R944" s="59"/>
      <c r="S944" s="59"/>
      <c r="T944" s="59"/>
      <c r="U944" s="59"/>
      <c r="V944" s="59"/>
      <c r="W944" s="59"/>
      <c r="X944" s="59">
        <v>0</v>
      </c>
      <c r="Y944" s="59">
        <v>0</v>
      </c>
      <c r="Z944" s="59">
        <v>0</v>
      </c>
      <c r="AA944" s="59">
        <v>0</v>
      </c>
      <c r="AB944" s="59"/>
      <c r="AC944" s="59"/>
      <c r="AD944" s="59"/>
      <c r="AE944" s="59"/>
      <c r="AF944" s="59"/>
      <c r="AG944" s="59"/>
      <c r="AH944" s="59"/>
      <c r="AI944" s="59"/>
      <c r="AJ944" s="59"/>
      <c r="AK944" s="59"/>
    </row>
    <row r="945" spans="1:37" x14ac:dyDescent="0.25">
      <c r="D945" t="s">
        <v>585</v>
      </c>
      <c r="H945" t="s">
        <v>1507</v>
      </c>
      <c r="I945" s="59"/>
      <c r="J945" s="59"/>
      <c r="K945" s="59"/>
      <c r="L945" s="59"/>
      <c r="M945" s="59"/>
      <c r="N945" s="59"/>
      <c r="O945" s="59"/>
      <c r="P945" s="59"/>
      <c r="Q945" s="59"/>
      <c r="R945" s="59"/>
      <c r="S945" s="59"/>
      <c r="T945" s="59"/>
      <c r="U945" s="59"/>
      <c r="V945" s="59"/>
      <c r="W945" s="59"/>
      <c r="X945" s="59">
        <v>0</v>
      </c>
      <c r="Y945" s="59">
        <v>0</v>
      </c>
      <c r="Z945" s="59">
        <v>0</v>
      </c>
      <c r="AA945" s="59">
        <v>0</v>
      </c>
      <c r="AB945" s="59"/>
      <c r="AC945" s="59"/>
      <c r="AD945" s="59"/>
      <c r="AE945" s="59"/>
      <c r="AF945" s="59"/>
      <c r="AG945" s="59"/>
      <c r="AH945" s="59"/>
      <c r="AI945" s="59"/>
      <c r="AJ945" s="59"/>
      <c r="AK945" s="59"/>
    </row>
    <row r="946" spans="1:37" x14ac:dyDescent="0.25">
      <c r="D946" t="s">
        <v>586</v>
      </c>
      <c r="H946" t="s">
        <v>1507</v>
      </c>
      <c r="I946" s="59"/>
      <c r="J946" s="59"/>
      <c r="K946" s="59"/>
      <c r="L946" s="59"/>
      <c r="M946" s="59"/>
      <c r="N946" s="59"/>
      <c r="O946" s="59"/>
      <c r="P946" s="59"/>
      <c r="Q946" s="59"/>
      <c r="R946" s="59"/>
      <c r="S946" s="59"/>
      <c r="T946" s="59"/>
      <c r="U946" s="59"/>
      <c r="V946" s="59"/>
      <c r="W946" s="59"/>
      <c r="X946" s="59">
        <v>1689</v>
      </c>
      <c r="Y946" s="59">
        <v>1370</v>
      </c>
      <c r="Z946" s="59">
        <v>1526</v>
      </c>
      <c r="AA946" s="59">
        <v>3571</v>
      </c>
      <c r="AB946" s="59"/>
      <c r="AC946" s="59"/>
      <c r="AD946" s="59"/>
      <c r="AE946" s="59"/>
      <c r="AF946" s="59"/>
      <c r="AG946" s="59"/>
      <c r="AH946" s="59"/>
      <c r="AI946" s="59"/>
      <c r="AJ946" s="59"/>
      <c r="AK946" s="59"/>
    </row>
    <row r="947" spans="1:37" x14ac:dyDescent="0.25">
      <c r="D947" t="s">
        <v>587</v>
      </c>
      <c r="H947" t="s">
        <v>1507</v>
      </c>
      <c r="I947" s="59"/>
      <c r="J947" s="59"/>
      <c r="K947" s="59"/>
      <c r="L947" s="59"/>
      <c r="M947" s="59"/>
      <c r="N947" s="59"/>
      <c r="O947" s="59"/>
      <c r="P947" s="59"/>
      <c r="Q947" s="59"/>
      <c r="R947" s="59"/>
      <c r="S947" s="59"/>
      <c r="T947" s="59"/>
      <c r="U947" s="59"/>
      <c r="V947" s="59"/>
      <c r="W947" s="59"/>
      <c r="X947" s="59">
        <v>1785</v>
      </c>
      <c r="Y947" s="59">
        <v>1294</v>
      </c>
      <c r="Z947" s="59">
        <v>1149</v>
      </c>
      <c r="AA947" s="59">
        <v>2122</v>
      </c>
      <c r="AB947" s="59"/>
      <c r="AC947" s="59"/>
      <c r="AD947" s="59"/>
      <c r="AE947" s="59"/>
      <c r="AF947" s="59"/>
      <c r="AG947" s="59"/>
      <c r="AH947" s="59"/>
      <c r="AI947" s="59"/>
      <c r="AJ947" s="59"/>
      <c r="AK947" s="59"/>
    </row>
    <row r="948" spans="1:37" x14ac:dyDescent="0.25">
      <c r="D948" t="s">
        <v>588</v>
      </c>
      <c r="H948" t="s">
        <v>1507</v>
      </c>
      <c r="I948" s="59"/>
      <c r="J948" s="59"/>
      <c r="K948" s="59"/>
      <c r="L948" s="59"/>
      <c r="M948" s="59"/>
      <c r="N948" s="59"/>
      <c r="O948" s="59"/>
      <c r="P948" s="59"/>
      <c r="Q948" s="59"/>
      <c r="R948" s="59"/>
      <c r="S948" s="59"/>
      <c r="T948" s="59"/>
      <c r="U948" s="59"/>
      <c r="V948" s="59"/>
      <c r="W948" s="59"/>
      <c r="X948" s="59">
        <v>410</v>
      </c>
      <c r="Y948" s="59">
        <v>515</v>
      </c>
      <c r="Z948" s="59">
        <v>460</v>
      </c>
      <c r="AA948" s="59">
        <v>1133</v>
      </c>
      <c r="AB948" s="59"/>
      <c r="AC948" s="59"/>
      <c r="AD948" s="59"/>
      <c r="AE948" s="59"/>
      <c r="AF948" s="59"/>
      <c r="AG948" s="59"/>
      <c r="AH948" s="59"/>
      <c r="AI948" s="59"/>
      <c r="AJ948" s="59"/>
      <c r="AK948" s="59"/>
    </row>
    <row r="949" spans="1:37" x14ac:dyDescent="0.25">
      <c r="D949" t="s">
        <v>589</v>
      </c>
      <c r="H949" t="s">
        <v>1507</v>
      </c>
      <c r="I949" s="59"/>
      <c r="J949" s="59"/>
      <c r="K949" s="59"/>
      <c r="L949" s="59"/>
      <c r="M949" s="59"/>
      <c r="N949" s="59"/>
      <c r="O949" s="59"/>
      <c r="P949" s="59"/>
      <c r="Q949" s="59"/>
      <c r="R949" s="59"/>
      <c r="S949" s="59"/>
      <c r="T949" s="59"/>
      <c r="U949" s="59"/>
      <c r="V949" s="59"/>
      <c r="W949" s="59"/>
      <c r="X949" s="59">
        <v>861</v>
      </c>
      <c r="Y949" s="59">
        <v>692</v>
      </c>
      <c r="Z949" s="59">
        <v>1197</v>
      </c>
      <c r="AA949" s="59">
        <v>1889</v>
      </c>
      <c r="AB949" s="59"/>
      <c r="AC949" s="59"/>
      <c r="AD949" s="59"/>
      <c r="AE949" s="59"/>
      <c r="AF949" s="59"/>
      <c r="AG949" s="59"/>
      <c r="AH949" s="59"/>
      <c r="AI949" s="59"/>
      <c r="AJ949" s="59"/>
      <c r="AK949" s="59"/>
    </row>
    <row r="950" spans="1:37" s="3" customFormat="1" x14ac:dyDescent="0.25">
      <c r="B950" s="4"/>
      <c r="J950" s="73"/>
      <c r="K950" s="73"/>
      <c r="L950" s="73"/>
      <c r="M950" s="73"/>
      <c r="N950" s="73"/>
    </row>
    <row r="951" spans="1:37" s="37" customFormat="1" ht="17.25" x14ac:dyDescent="0.3">
      <c r="A951" s="37" t="s">
        <v>13</v>
      </c>
    </row>
    <row r="952" spans="1:37" x14ac:dyDescent="0.25">
      <c r="B952" s="64" t="s">
        <v>31</v>
      </c>
      <c r="C952" t="s">
        <v>590</v>
      </c>
    </row>
    <row r="953" spans="1:37" x14ac:dyDescent="0.25">
      <c r="B953" s="64" t="s">
        <v>32</v>
      </c>
      <c r="C953" s="195" t="s">
        <v>326</v>
      </c>
    </row>
    <row r="954" spans="1:37" s="223" customFormat="1" x14ac:dyDescent="0.25">
      <c r="B954" s="64"/>
      <c r="C954" s="268" t="s">
        <v>1000</v>
      </c>
    </row>
    <row r="955" spans="1:37" x14ac:dyDescent="0.25">
      <c r="B955" s="64" t="s">
        <v>331</v>
      </c>
      <c r="C955" s="5" t="s">
        <v>591</v>
      </c>
    </row>
    <row r="956" spans="1:37" x14ac:dyDescent="0.25">
      <c r="B956" s="64" t="s">
        <v>332</v>
      </c>
      <c r="C956" t="s">
        <v>592</v>
      </c>
    </row>
    <row r="957" spans="1:37" s="34" customFormat="1" ht="15.75" thickBot="1" x14ac:dyDescent="0.3">
      <c r="B957" s="65" t="s">
        <v>334</v>
      </c>
    </row>
    <row r="958" spans="1:37" s="13" customFormat="1" ht="15.75" thickTop="1" x14ac:dyDescent="0.25">
      <c r="B958" s="64" t="s">
        <v>34</v>
      </c>
      <c r="C958" s="15"/>
      <c r="I958" s="62"/>
      <c r="J958" s="62"/>
      <c r="K958" s="62"/>
      <c r="L958" s="62"/>
      <c r="M958" s="62"/>
      <c r="N958" s="62"/>
      <c r="O958" s="62"/>
      <c r="P958" s="62"/>
      <c r="Q958" s="62"/>
      <c r="R958" s="62"/>
      <c r="S958" s="62"/>
      <c r="T958" s="62"/>
      <c r="U958" s="62"/>
      <c r="V958" s="62"/>
      <c r="W958" s="62"/>
      <c r="X958" s="62"/>
      <c r="Y958" s="62"/>
      <c r="Z958" s="62"/>
      <c r="AA958" s="62"/>
      <c r="AB958" s="62"/>
      <c r="AC958" s="62"/>
      <c r="AD958" s="62"/>
      <c r="AE958" s="62"/>
      <c r="AF958" s="62"/>
      <c r="AG958" s="62"/>
      <c r="AH958" s="62"/>
      <c r="AI958" s="62"/>
      <c r="AJ958" s="62"/>
      <c r="AK958" s="62"/>
    </row>
    <row r="959" spans="1:37" s="3" customFormat="1" x14ac:dyDescent="0.25">
      <c r="B959" s="4"/>
      <c r="J959" s="73"/>
      <c r="K959" s="73"/>
      <c r="L959" s="73"/>
      <c r="M959" s="73"/>
      <c r="N959" s="73"/>
    </row>
    <row r="960" spans="1:37" s="37" customFormat="1" ht="17.25" x14ac:dyDescent="0.3">
      <c r="A960" s="37" t="s">
        <v>597</v>
      </c>
    </row>
    <row r="961" spans="2:37" x14ac:dyDescent="0.25">
      <c r="B961" s="64" t="s">
        <v>31</v>
      </c>
      <c r="C961" t="s">
        <v>598</v>
      </c>
    </row>
    <row r="962" spans="2:37" x14ac:dyDescent="0.25">
      <c r="B962" s="64" t="s">
        <v>32</v>
      </c>
      <c r="C962" s="195" t="s">
        <v>326</v>
      </c>
    </row>
    <row r="963" spans="2:37" s="223" customFormat="1" x14ac:dyDescent="0.25">
      <c r="B963" s="64"/>
      <c r="C963" s="268" t="s">
        <v>1000</v>
      </c>
    </row>
    <row r="964" spans="2:37" x14ac:dyDescent="0.25">
      <c r="B964" s="64" t="s">
        <v>331</v>
      </c>
      <c r="C964" s="5" t="s">
        <v>600</v>
      </c>
    </row>
    <row r="965" spans="2:37" x14ac:dyDescent="0.25">
      <c r="B965" s="64" t="s">
        <v>332</v>
      </c>
      <c r="C965" t="s">
        <v>602</v>
      </c>
    </row>
    <row r="966" spans="2:37" s="34" customFormat="1" ht="15.75" thickBot="1" x14ac:dyDescent="0.3">
      <c r="B966" s="65" t="s">
        <v>334</v>
      </c>
    </row>
    <row r="967" spans="2:37" s="13" customFormat="1" ht="15.75" thickTop="1" x14ac:dyDescent="0.25">
      <c r="B967" s="64" t="s">
        <v>34</v>
      </c>
      <c r="C967" s="15" t="s">
        <v>599</v>
      </c>
      <c r="H967" s="13" t="s">
        <v>1507</v>
      </c>
      <c r="I967" s="62">
        <f t="shared" ref="I967:AK967" si="170">SUM(I968:I979)</f>
        <v>545164</v>
      </c>
      <c r="J967" s="62">
        <f t="shared" si="170"/>
        <v>525220</v>
      </c>
      <c r="K967" s="62">
        <f t="shared" si="170"/>
        <v>491785</v>
      </c>
      <c r="L967" s="62">
        <f t="shared" si="170"/>
        <v>482095</v>
      </c>
      <c r="M967" s="62">
        <f t="shared" si="170"/>
        <v>553327</v>
      </c>
      <c r="N967" s="62">
        <f t="shared" si="170"/>
        <v>586613</v>
      </c>
      <c r="O967" s="62">
        <f t="shared" si="170"/>
        <v>553735</v>
      </c>
      <c r="P967" s="62">
        <f t="shared" si="170"/>
        <v>552358</v>
      </c>
      <c r="Q967" s="62">
        <f t="shared" si="170"/>
        <v>517670</v>
      </c>
      <c r="R967" s="62">
        <f t="shared" si="170"/>
        <v>483467</v>
      </c>
      <c r="S967" s="62">
        <f t="shared" si="170"/>
        <v>495494</v>
      </c>
      <c r="T967" s="62">
        <f t="shared" si="170"/>
        <v>525702</v>
      </c>
      <c r="U967" s="62">
        <f t="shared" si="170"/>
        <v>549941</v>
      </c>
      <c r="V967" s="62">
        <f t="shared" si="170"/>
        <v>631240</v>
      </c>
      <c r="W967" s="62">
        <f t="shared" si="170"/>
        <v>530846</v>
      </c>
      <c r="X967" s="62">
        <f t="shared" si="170"/>
        <v>641506</v>
      </c>
      <c r="Y967" s="62">
        <f t="shared" si="170"/>
        <v>446299</v>
      </c>
      <c r="Z967" s="62">
        <f t="shared" si="170"/>
        <v>563382</v>
      </c>
      <c r="AA967" s="62">
        <f t="shared" si="170"/>
        <v>408616</v>
      </c>
      <c r="AB967" s="62">
        <f t="shared" si="170"/>
        <v>0</v>
      </c>
      <c r="AC967" s="62">
        <f t="shared" si="170"/>
        <v>0</v>
      </c>
      <c r="AD967" s="62">
        <f t="shared" si="170"/>
        <v>0</v>
      </c>
      <c r="AE967" s="62">
        <f t="shared" si="170"/>
        <v>0</v>
      </c>
      <c r="AF967" s="62">
        <f t="shared" si="170"/>
        <v>0</v>
      </c>
      <c r="AG967" s="62">
        <f t="shared" si="170"/>
        <v>0</v>
      </c>
      <c r="AH967" s="62">
        <f t="shared" si="170"/>
        <v>0</v>
      </c>
      <c r="AI967" s="62">
        <f t="shared" si="170"/>
        <v>0</v>
      </c>
      <c r="AJ967" s="62">
        <f t="shared" si="170"/>
        <v>0</v>
      </c>
      <c r="AK967" s="62">
        <f t="shared" si="170"/>
        <v>0</v>
      </c>
    </row>
    <row r="968" spans="2:37" x14ac:dyDescent="0.25">
      <c r="D968" s="9" t="s">
        <v>314</v>
      </c>
      <c r="H968" t="s">
        <v>1507</v>
      </c>
      <c r="I968" s="59">
        <v>929</v>
      </c>
      <c r="J968" s="59">
        <v>429</v>
      </c>
      <c r="K968" s="59">
        <v>269</v>
      </c>
      <c r="L968" s="59">
        <v>386</v>
      </c>
      <c r="M968" s="59">
        <v>114</v>
      </c>
      <c r="N968" s="59">
        <v>384</v>
      </c>
      <c r="O968" s="59">
        <v>419</v>
      </c>
      <c r="P968" s="59">
        <v>209</v>
      </c>
      <c r="Q968" s="59">
        <v>404</v>
      </c>
      <c r="R968" s="59">
        <v>336</v>
      </c>
      <c r="S968" s="59">
        <v>441</v>
      </c>
      <c r="T968" s="59">
        <v>594</v>
      </c>
      <c r="U968" s="59">
        <v>324</v>
      </c>
      <c r="V968" s="59">
        <v>328</v>
      </c>
      <c r="W968" s="59">
        <v>0</v>
      </c>
      <c r="X968" s="59">
        <v>442</v>
      </c>
      <c r="Y968" s="59">
        <v>532</v>
      </c>
      <c r="Z968" s="59">
        <v>215</v>
      </c>
      <c r="AA968" s="59">
        <v>6</v>
      </c>
      <c r="AB968" s="59"/>
      <c r="AC968" s="59"/>
      <c r="AD968" s="59"/>
      <c r="AE968" s="59"/>
      <c r="AF968" s="59"/>
      <c r="AG968" s="59"/>
      <c r="AH968" s="59"/>
      <c r="AI968" s="59"/>
      <c r="AJ968" s="59"/>
      <c r="AK968" s="59"/>
    </row>
    <row r="969" spans="2:37" x14ac:dyDescent="0.25">
      <c r="D969" s="9" t="s">
        <v>315</v>
      </c>
      <c r="H969" t="s">
        <v>1507</v>
      </c>
      <c r="I969" s="59">
        <v>1276</v>
      </c>
      <c r="J969" s="59">
        <v>661</v>
      </c>
      <c r="K969" s="59">
        <v>317</v>
      </c>
      <c r="L969" s="59">
        <v>568</v>
      </c>
      <c r="M969" s="59">
        <v>648</v>
      </c>
      <c r="N969" s="59">
        <v>575</v>
      </c>
      <c r="O969" s="59">
        <v>420</v>
      </c>
      <c r="P969" s="59">
        <v>376</v>
      </c>
      <c r="Q969" s="59">
        <v>411</v>
      </c>
      <c r="R969" s="59">
        <v>175</v>
      </c>
      <c r="S969" s="59">
        <v>345</v>
      </c>
      <c r="T969" s="59">
        <v>498</v>
      </c>
      <c r="U969" s="59">
        <v>246</v>
      </c>
      <c r="V969" s="59">
        <v>284</v>
      </c>
      <c r="W969" s="59">
        <v>145</v>
      </c>
      <c r="X969" s="59">
        <v>330</v>
      </c>
      <c r="Y969" s="59">
        <v>319</v>
      </c>
      <c r="Z969" s="59">
        <v>329</v>
      </c>
      <c r="AA969" s="59">
        <v>99</v>
      </c>
      <c r="AB969" s="59"/>
      <c r="AC969" s="59"/>
      <c r="AD969" s="59"/>
      <c r="AE969" s="59"/>
      <c r="AF969" s="59"/>
      <c r="AG969" s="59"/>
      <c r="AH969" s="59"/>
      <c r="AI969" s="59"/>
      <c r="AJ969" s="59"/>
      <c r="AK969" s="59"/>
    </row>
    <row r="970" spans="2:37" x14ac:dyDescent="0.25">
      <c r="D970" s="9" t="s">
        <v>316</v>
      </c>
      <c r="H970" t="s">
        <v>1507</v>
      </c>
      <c r="I970" s="59">
        <v>1400</v>
      </c>
      <c r="J970" s="59">
        <v>533</v>
      </c>
      <c r="K970" s="59">
        <v>96</v>
      </c>
      <c r="L970" s="59">
        <v>310</v>
      </c>
      <c r="M970" s="59">
        <v>302</v>
      </c>
      <c r="N970" s="59">
        <v>285</v>
      </c>
      <c r="O970" s="59">
        <v>291</v>
      </c>
      <c r="P970" s="59">
        <v>461</v>
      </c>
      <c r="Q970" s="59">
        <v>318</v>
      </c>
      <c r="R970" s="59">
        <v>139</v>
      </c>
      <c r="S970" s="59">
        <v>182</v>
      </c>
      <c r="T970" s="59">
        <v>212</v>
      </c>
      <c r="U970" s="59">
        <v>200</v>
      </c>
      <c r="V970" s="59">
        <v>318</v>
      </c>
      <c r="W970" s="59">
        <v>136</v>
      </c>
      <c r="X970" s="59">
        <v>154</v>
      </c>
      <c r="Y970" s="59">
        <v>310</v>
      </c>
      <c r="Z970" s="59">
        <v>39</v>
      </c>
      <c r="AA970" s="59">
        <v>123</v>
      </c>
      <c r="AB970" s="59"/>
      <c r="AC970" s="59"/>
      <c r="AD970" s="59"/>
      <c r="AE970" s="59"/>
      <c r="AF970" s="59"/>
      <c r="AG970" s="59"/>
      <c r="AH970" s="59"/>
      <c r="AI970" s="59"/>
      <c r="AJ970" s="59"/>
      <c r="AK970" s="59"/>
    </row>
    <row r="971" spans="2:37" x14ac:dyDescent="0.25">
      <c r="D971" s="9" t="s">
        <v>317</v>
      </c>
      <c r="H971" t="s">
        <v>1507</v>
      </c>
      <c r="I971" s="59">
        <v>164</v>
      </c>
      <c r="J971" s="59">
        <v>218</v>
      </c>
      <c r="K971" s="59">
        <v>195</v>
      </c>
      <c r="L971" s="59">
        <v>67</v>
      </c>
      <c r="M971" s="59">
        <v>165</v>
      </c>
      <c r="N971" s="59">
        <v>178</v>
      </c>
      <c r="O971" s="59">
        <v>205</v>
      </c>
      <c r="P971" s="59">
        <v>0</v>
      </c>
      <c r="Q971" s="59">
        <v>143</v>
      </c>
      <c r="R971" s="59">
        <v>196</v>
      </c>
      <c r="S971" s="59">
        <v>220</v>
      </c>
      <c r="T971" s="59">
        <v>269</v>
      </c>
      <c r="U971" s="59">
        <v>249</v>
      </c>
      <c r="V971" s="59">
        <v>316</v>
      </c>
      <c r="W971" s="59">
        <v>89</v>
      </c>
      <c r="X971" s="59">
        <v>154</v>
      </c>
      <c r="Y971" s="59">
        <v>312</v>
      </c>
      <c r="Z971" s="59">
        <v>101</v>
      </c>
      <c r="AA971" s="59">
        <v>0</v>
      </c>
      <c r="AB971" s="59"/>
      <c r="AC971" s="59"/>
      <c r="AD971" s="59"/>
      <c r="AE971" s="59"/>
      <c r="AF971" s="59"/>
      <c r="AG971" s="59"/>
      <c r="AH971" s="59"/>
      <c r="AI971" s="59"/>
      <c r="AJ971" s="59"/>
      <c r="AK971" s="59"/>
    </row>
    <row r="972" spans="2:37" x14ac:dyDescent="0.25">
      <c r="D972" s="9" t="s">
        <v>318</v>
      </c>
      <c r="H972" t="s">
        <v>1507</v>
      </c>
      <c r="I972" s="59">
        <v>15177</v>
      </c>
      <c r="J972" s="59">
        <v>14655</v>
      </c>
      <c r="K972" s="59">
        <v>10360</v>
      </c>
      <c r="L972" s="59">
        <v>8632</v>
      </c>
      <c r="M972" s="59">
        <v>19472</v>
      </c>
      <c r="N972" s="59">
        <v>26606</v>
      </c>
      <c r="O972" s="59">
        <v>26563</v>
      </c>
      <c r="P972" s="59">
        <v>35407</v>
      </c>
      <c r="Q972" s="59">
        <v>12980</v>
      </c>
      <c r="R972" s="59">
        <v>12792</v>
      </c>
      <c r="S972" s="59">
        <v>19252</v>
      </c>
      <c r="T972" s="59">
        <v>19173</v>
      </c>
      <c r="U972" s="59">
        <v>37859</v>
      </c>
      <c r="V972" s="59">
        <v>24352</v>
      </c>
      <c r="W972" s="59">
        <v>32828</v>
      </c>
      <c r="X972" s="59">
        <v>29959</v>
      </c>
      <c r="Y972" s="59">
        <v>33512</v>
      </c>
      <c r="Z972" s="59">
        <v>32907</v>
      </c>
      <c r="AA972" s="59">
        <v>1165</v>
      </c>
      <c r="AB972" s="59"/>
      <c r="AC972" s="59"/>
      <c r="AD972" s="59"/>
      <c r="AE972" s="59"/>
      <c r="AF972" s="59"/>
      <c r="AG972" s="59"/>
      <c r="AH972" s="59"/>
      <c r="AI972" s="59"/>
      <c r="AJ972" s="59"/>
      <c r="AK972" s="59"/>
    </row>
    <row r="973" spans="2:37" x14ac:dyDescent="0.25">
      <c r="D973" s="9" t="s">
        <v>319</v>
      </c>
      <c r="H973" t="s">
        <v>1507</v>
      </c>
      <c r="I973" s="59">
        <v>110062</v>
      </c>
      <c r="J973" s="59">
        <v>104474</v>
      </c>
      <c r="K973" s="59">
        <v>99145</v>
      </c>
      <c r="L973" s="59">
        <v>99842</v>
      </c>
      <c r="M973" s="59">
        <v>98791</v>
      </c>
      <c r="N973" s="59">
        <v>119069</v>
      </c>
      <c r="O973" s="59">
        <v>109530</v>
      </c>
      <c r="P973" s="59">
        <v>92771</v>
      </c>
      <c r="Q973" s="59">
        <v>99840</v>
      </c>
      <c r="R973" s="59">
        <v>84017</v>
      </c>
      <c r="S973" s="59">
        <v>95601</v>
      </c>
      <c r="T973" s="59">
        <v>104897</v>
      </c>
      <c r="U973" s="59">
        <v>108871</v>
      </c>
      <c r="V973" s="59">
        <v>133053</v>
      </c>
      <c r="W973" s="59">
        <v>134857</v>
      </c>
      <c r="X973" s="59">
        <v>137735</v>
      </c>
      <c r="Y973" s="59">
        <v>88564</v>
      </c>
      <c r="Z973" s="59">
        <v>114877</v>
      </c>
      <c r="AA973" s="59">
        <v>51325</v>
      </c>
      <c r="AB973" s="59"/>
      <c r="AC973" s="59"/>
      <c r="AD973" s="59"/>
      <c r="AE973" s="59"/>
      <c r="AF973" s="59"/>
      <c r="AG973" s="59"/>
      <c r="AH973" s="59"/>
      <c r="AI973" s="59"/>
      <c r="AJ973" s="59"/>
      <c r="AK973" s="59"/>
    </row>
    <row r="974" spans="2:37" x14ac:dyDescent="0.25">
      <c r="D974" s="9" t="s">
        <v>320</v>
      </c>
      <c r="H974" t="s">
        <v>1507</v>
      </c>
      <c r="I974" s="59">
        <v>166383</v>
      </c>
      <c r="J974" s="59">
        <v>154510</v>
      </c>
      <c r="K974" s="59">
        <v>152923</v>
      </c>
      <c r="L974" s="59">
        <v>157236</v>
      </c>
      <c r="M974" s="59">
        <v>193514</v>
      </c>
      <c r="N974" s="59">
        <v>184242</v>
      </c>
      <c r="O974" s="59">
        <v>173734</v>
      </c>
      <c r="P974" s="59">
        <v>170450</v>
      </c>
      <c r="Q974" s="59">
        <v>169626</v>
      </c>
      <c r="R974" s="59">
        <v>152283</v>
      </c>
      <c r="S974" s="59">
        <v>170835</v>
      </c>
      <c r="T974" s="59">
        <v>166784</v>
      </c>
      <c r="U974" s="59">
        <v>164748</v>
      </c>
      <c r="V974" s="59">
        <v>170199</v>
      </c>
      <c r="W974" s="59">
        <v>177468</v>
      </c>
      <c r="X974" s="59">
        <v>182686</v>
      </c>
      <c r="Y974" s="59">
        <v>123524</v>
      </c>
      <c r="Z974" s="59">
        <v>155576</v>
      </c>
      <c r="AA974" s="59">
        <v>122828</v>
      </c>
      <c r="AB974" s="59"/>
      <c r="AC974" s="59"/>
      <c r="AD974" s="59"/>
      <c r="AE974" s="59"/>
      <c r="AF974" s="59"/>
      <c r="AG974" s="59"/>
      <c r="AH974" s="59"/>
      <c r="AI974" s="59"/>
      <c r="AJ974" s="59"/>
      <c r="AK974" s="59"/>
    </row>
    <row r="975" spans="2:37" x14ac:dyDescent="0.25">
      <c r="D975" s="9" t="s">
        <v>321</v>
      </c>
      <c r="H975" t="s">
        <v>1507</v>
      </c>
      <c r="I975" s="59">
        <v>147525</v>
      </c>
      <c r="J975" s="59">
        <v>147844</v>
      </c>
      <c r="K975" s="59">
        <v>134682</v>
      </c>
      <c r="L975" s="59">
        <v>134066</v>
      </c>
      <c r="M975" s="59">
        <v>150596</v>
      </c>
      <c r="N975" s="59">
        <v>160055</v>
      </c>
      <c r="O975" s="59">
        <v>154603</v>
      </c>
      <c r="P975" s="59">
        <v>154906</v>
      </c>
      <c r="Q975" s="59">
        <v>145251</v>
      </c>
      <c r="R975" s="59">
        <v>138514</v>
      </c>
      <c r="S975" s="59">
        <v>145018</v>
      </c>
      <c r="T975" s="59">
        <v>146611</v>
      </c>
      <c r="U975" s="59">
        <v>141907</v>
      </c>
      <c r="V975" s="59">
        <v>148589</v>
      </c>
      <c r="W975" s="59">
        <v>157883</v>
      </c>
      <c r="X975" s="59">
        <v>176633</v>
      </c>
      <c r="Y975" s="59">
        <v>113637</v>
      </c>
      <c r="Z975" s="59">
        <v>146223</v>
      </c>
      <c r="AA975" s="59">
        <v>121812</v>
      </c>
      <c r="AB975" s="59"/>
      <c r="AC975" s="59"/>
      <c r="AD975" s="59"/>
      <c r="AE975" s="59"/>
      <c r="AF975" s="59"/>
      <c r="AG975" s="59"/>
      <c r="AH975" s="59"/>
      <c r="AI975" s="59"/>
      <c r="AJ975" s="59"/>
      <c r="AK975" s="59"/>
    </row>
    <row r="976" spans="2:37" x14ac:dyDescent="0.25">
      <c r="D976" s="9" t="s">
        <v>322</v>
      </c>
      <c r="H976" t="s">
        <v>1507</v>
      </c>
      <c r="I976" s="59">
        <v>88714</v>
      </c>
      <c r="J976" s="59">
        <v>81028</v>
      </c>
      <c r="K976" s="59">
        <v>76304</v>
      </c>
      <c r="L976" s="59">
        <v>75903</v>
      </c>
      <c r="M976" s="59">
        <v>81741</v>
      </c>
      <c r="N976" s="59">
        <v>87470</v>
      </c>
      <c r="O976" s="59">
        <v>76762</v>
      </c>
      <c r="P976" s="59">
        <v>93284</v>
      </c>
      <c r="Q976" s="59">
        <v>80830</v>
      </c>
      <c r="R976" s="59">
        <v>85510</v>
      </c>
      <c r="S976" s="59">
        <v>58011</v>
      </c>
      <c r="T976" s="59">
        <v>86071</v>
      </c>
      <c r="U976" s="59">
        <v>87402</v>
      </c>
      <c r="V976" s="59">
        <v>142990</v>
      </c>
      <c r="W976" s="59">
        <v>16602</v>
      </c>
      <c r="X976" s="59">
        <v>103862</v>
      </c>
      <c r="Y976" s="59">
        <v>78860</v>
      </c>
      <c r="Z976" s="59">
        <v>103941</v>
      </c>
      <c r="AA976" s="59">
        <v>96277</v>
      </c>
      <c r="AB976" s="59"/>
      <c r="AC976" s="59"/>
      <c r="AD976" s="59"/>
      <c r="AE976" s="59"/>
      <c r="AF976" s="59"/>
      <c r="AG976" s="59"/>
      <c r="AH976" s="59"/>
      <c r="AI976" s="59"/>
      <c r="AJ976" s="59"/>
      <c r="AK976" s="59"/>
    </row>
    <row r="977" spans="1:37" x14ac:dyDescent="0.25">
      <c r="D977" s="9" t="s">
        <v>323</v>
      </c>
      <c r="H977" t="s">
        <v>1507</v>
      </c>
      <c r="I977" s="59">
        <v>9645</v>
      </c>
      <c r="J977" s="59">
        <v>9378</v>
      </c>
      <c r="K977" s="59">
        <v>14412</v>
      </c>
      <c r="L977" s="59">
        <v>4906</v>
      </c>
      <c r="M977" s="59">
        <v>5196</v>
      </c>
      <c r="N977" s="59">
        <v>7377</v>
      </c>
      <c r="O977" s="59">
        <v>10641</v>
      </c>
      <c r="P977" s="59">
        <v>4097</v>
      </c>
      <c r="Q977" s="59">
        <v>7591</v>
      </c>
      <c r="R977" s="59">
        <v>9349</v>
      </c>
      <c r="S977" s="59">
        <v>5372</v>
      </c>
      <c r="T977" s="59">
        <v>307</v>
      </c>
      <c r="U977" s="59">
        <v>7864</v>
      </c>
      <c r="V977" s="59">
        <v>10801</v>
      </c>
      <c r="W977" s="59">
        <v>10584</v>
      </c>
      <c r="X977" s="59">
        <v>9513</v>
      </c>
      <c r="Y977" s="59">
        <v>6674</v>
      </c>
      <c r="Z977" s="59">
        <v>9054</v>
      </c>
      <c r="AA977" s="59">
        <v>14920</v>
      </c>
      <c r="AB977" s="59"/>
      <c r="AC977" s="59"/>
      <c r="AD977" s="59"/>
      <c r="AE977" s="59"/>
      <c r="AF977" s="59"/>
      <c r="AG977" s="59"/>
      <c r="AH977" s="59"/>
      <c r="AI977" s="59"/>
      <c r="AJ977" s="59"/>
      <c r="AK977" s="59"/>
    </row>
    <row r="978" spans="1:37" x14ac:dyDescent="0.25">
      <c r="D978" s="9" t="s">
        <v>324</v>
      </c>
      <c r="H978" t="s">
        <v>1507</v>
      </c>
      <c r="I978" s="59">
        <v>3425</v>
      </c>
      <c r="J978" s="59">
        <v>11019</v>
      </c>
      <c r="K978" s="59">
        <v>2947</v>
      </c>
      <c r="L978" s="59">
        <v>99</v>
      </c>
      <c r="M978" s="59">
        <v>2548</v>
      </c>
      <c r="N978" s="59">
        <v>147</v>
      </c>
      <c r="O978" s="59">
        <v>336</v>
      </c>
      <c r="P978" s="59">
        <v>196</v>
      </c>
      <c r="Q978" s="59">
        <v>147</v>
      </c>
      <c r="R978" s="59">
        <v>32</v>
      </c>
      <c r="S978" s="59">
        <v>132</v>
      </c>
      <c r="T978" s="59">
        <v>204</v>
      </c>
      <c r="U978" s="59">
        <v>164</v>
      </c>
      <c r="V978" s="59">
        <v>0</v>
      </c>
      <c r="W978" s="59">
        <v>66</v>
      </c>
      <c r="X978" s="59">
        <v>0</v>
      </c>
      <c r="Y978" s="59">
        <v>33</v>
      </c>
      <c r="Z978" s="59">
        <v>23</v>
      </c>
      <c r="AA978" s="59">
        <v>27</v>
      </c>
      <c r="AB978" s="59"/>
      <c r="AC978" s="59"/>
      <c r="AD978" s="59"/>
      <c r="AE978" s="59"/>
      <c r="AF978" s="59"/>
      <c r="AG978" s="59"/>
      <c r="AH978" s="59"/>
      <c r="AI978" s="59"/>
      <c r="AJ978" s="59"/>
      <c r="AK978" s="59"/>
    </row>
    <row r="979" spans="1:37" x14ac:dyDescent="0.25">
      <c r="D979" s="9" t="s">
        <v>325</v>
      </c>
      <c r="H979" t="s">
        <v>1507</v>
      </c>
      <c r="I979" s="59">
        <v>464</v>
      </c>
      <c r="J979" s="59">
        <v>471</v>
      </c>
      <c r="K979" s="59">
        <v>135</v>
      </c>
      <c r="L979" s="59">
        <v>80</v>
      </c>
      <c r="M979" s="59">
        <v>240</v>
      </c>
      <c r="N979" s="59">
        <v>225</v>
      </c>
      <c r="O979" s="59">
        <v>231</v>
      </c>
      <c r="P979" s="59">
        <v>201</v>
      </c>
      <c r="Q979" s="59">
        <v>129</v>
      </c>
      <c r="R979" s="59">
        <v>124</v>
      </c>
      <c r="S979" s="59">
        <v>85</v>
      </c>
      <c r="T979" s="59">
        <v>82</v>
      </c>
      <c r="U979" s="59">
        <v>107</v>
      </c>
      <c r="V979" s="59">
        <v>10</v>
      </c>
      <c r="W979" s="59">
        <v>188</v>
      </c>
      <c r="X979" s="59">
        <v>38</v>
      </c>
      <c r="Y979" s="59">
        <v>22</v>
      </c>
      <c r="Z979" s="59">
        <v>97</v>
      </c>
      <c r="AA979" s="59">
        <v>34</v>
      </c>
      <c r="AB979" s="59"/>
      <c r="AC979" s="59"/>
      <c r="AD979" s="59"/>
      <c r="AE979" s="59"/>
      <c r="AF979" s="59"/>
      <c r="AG979" s="59"/>
      <c r="AH979" s="59"/>
      <c r="AI979" s="59"/>
      <c r="AJ979" s="59"/>
      <c r="AK979" s="59"/>
    </row>
    <row r="980" spans="1:37" s="3" customFormat="1" x14ac:dyDescent="0.25">
      <c r="B980" s="4"/>
      <c r="J980" s="73"/>
      <c r="K980" s="73"/>
      <c r="L980" s="73"/>
      <c r="M980" s="73"/>
      <c r="N980" s="73"/>
    </row>
    <row r="981" spans="1:37" s="37" customFormat="1" ht="17.25" x14ac:dyDescent="0.3">
      <c r="A981" s="37" t="s">
        <v>601</v>
      </c>
    </row>
    <row r="982" spans="1:37" x14ac:dyDescent="0.25">
      <c r="B982" s="64" t="s">
        <v>31</v>
      </c>
      <c r="C982" t="s">
        <v>603</v>
      </c>
    </row>
    <row r="983" spans="1:37" x14ac:dyDescent="0.25">
      <c r="B983" s="64" t="s">
        <v>32</v>
      </c>
      <c r="C983" s="195" t="s">
        <v>326</v>
      </c>
    </row>
    <row r="984" spans="1:37" s="223" customFormat="1" x14ac:dyDescent="0.25">
      <c r="B984" s="64"/>
      <c r="C984" s="268" t="s">
        <v>1000</v>
      </c>
    </row>
    <row r="985" spans="1:37" x14ac:dyDescent="0.25">
      <c r="B985" s="64" t="s">
        <v>331</v>
      </c>
      <c r="C985" s="5" t="s">
        <v>600</v>
      </c>
    </row>
    <row r="986" spans="1:37" x14ac:dyDescent="0.25">
      <c r="B986" s="64" t="s">
        <v>332</v>
      </c>
      <c r="C986" t="s">
        <v>604</v>
      </c>
    </row>
    <row r="987" spans="1:37" x14ac:dyDescent="0.25">
      <c r="B987" s="71" t="s">
        <v>334</v>
      </c>
      <c r="C987" s="5" t="s">
        <v>1543</v>
      </c>
    </row>
    <row r="988" spans="1:37" s="34" customFormat="1" ht="15.75" thickBot="1" x14ac:dyDescent="0.3">
      <c r="B988" s="65"/>
      <c r="C988" s="34" t="s">
        <v>605</v>
      </c>
    </row>
    <row r="989" spans="1:37" s="13" customFormat="1" ht="15.75" thickTop="1" x14ac:dyDescent="0.25">
      <c r="B989" s="64" t="s">
        <v>34</v>
      </c>
      <c r="C989" s="15" t="s">
        <v>599</v>
      </c>
      <c r="H989" s="13" t="s">
        <v>1507</v>
      </c>
      <c r="I989" s="62">
        <f t="shared" ref="I989:AK989" si="171">SUM(I990:I1001)</f>
        <v>0</v>
      </c>
      <c r="J989" s="62">
        <f t="shared" si="171"/>
        <v>0</v>
      </c>
      <c r="K989" s="62">
        <f t="shared" si="171"/>
        <v>0</v>
      </c>
      <c r="L989" s="62">
        <f t="shared" si="171"/>
        <v>0</v>
      </c>
      <c r="M989" s="62">
        <f t="shared" si="171"/>
        <v>0</v>
      </c>
      <c r="N989" s="62">
        <f t="shared" si="171"/>
        <v>0</v>
      </c>
      <c r="O989" s="62">
        <f t="shared" si="171"/>
        <v>0</v>
      </c>
      <c r="P989" s="62">
        <f t="shared" si="171"/>
        <v>0</v>
      </c>
      <c r="Q989" s="62">
        <f t="shared" si="171"/>
        <v>556067</v>
      </c>
      <c r="R989" s="62">
        <f t="shared" si="171"/>
        <v>547593</v>
      </c>
      <c r="S989" s="62">
        <f t="shared" si="171"/>
        <v>581592</v>
      </c>
      <c r="T989" s="62">
        <f t="shared" si="171"/>
        <v>571878</v>
      </c>
      <c r="U989" s="62">
        <f t="shared" si="171"/>
        <v>577507</v>
      </c>
      <c r="V989" s="62">
        <f t="shared" si="171"/>
        <v>597011</v>
      </c>
      <c r="W989" s="62">
        <f t="shared" si="171"/>
        <v>612191</v>
      </c>
      <c r="X989" s="62">
        <f t="shared" si="171"/>
        <v>641335</v>
      </c>
      <c r="Y989" s="62">
        <f t="shared" si="171"/>
        <v>641878</v>
      </c>
      <c r="Z989" s="62">
        <f t="shared" si="171"/>
        <v>537304</v>
      </c>
      <c r="AA989" s="62">
        <f t="shared" si="171"/>
        <v>244289</v>
      </c>
      <c r="AB989" s="62">
        <f t="shared" si="171"/>
        <v>0</v>
      </c>
      <c r="AC989" s="62">
        <f t="shared" si="171"/>
        <v>0</v>
      </c>
      <c r="AD989" s="62">
        <f t="shared" si="171"/>
        <v>0</v>
      </c>
      <c r="AE989" s="62">
        <f t="shared" si="171"/>
        <v>0</v>
      </c>
      <c r="AF989" s="62">
        <f t="shared" si="171"/>
        <v>0</v>
      </c>
      <c r="AG989" s="62">
        <f t="shared" si="171"/>
        <v>0</v>
      </c>
      <c r="AH989" s="62">
        <f t="shared" si="171"/>
        <v>0</v>
      </c>
      <c r="AI989" s="62">
        <f t="shared" si="171"/>
        <v>0</v>
      </c>
      <c r="AJ989" s="62">
        <f t="shared" si="171"/>
        <v>0</v>
      </c>
      <c r="AK989" s="62">
        <f t="shared" si="171"/>
        <v>0</v>
      </c>
    </row>
    <row r="990" spans="1:37" x14ac:dyDescent="0.25">
      <c r="D990" s="9" t="s">
        <v>314</v>
      </c>
      <c r="H990" t="s">
        <v>1507</v>
      </c>
      <c r="I990" s="59"/>
      <c r="J990" s="59"/>
      <c r="K990" s="59"/>
      <c r="L990" s="59"/>
      <c r="M990" s="59"/>
      <c r="N990" s="59"/>
      <c r="O990" s="59"/>
      <c r="P990" s="59"/>
      <c r="Q990" s="59">
        <v>4334</v>
      </c>
      <c r="R990" s="59">
        <v>2490</v>
      </c>
      <c r="S990" s="59">
        <v>5243</v>
      </c>
      <c r="T990" s="59">
        <v>5479</v>
      </c>
      <c r="U990" s="59">
        <v>5941</v>
      </c>
      <c r="V990" s="59">
        <v>5294</v>
      </c>
      <c r="W990" s="59">
        <v>5400</v>
      </c>
      <c r="X990" s="59">
        <v>6272</v>
      </c>
      <c r="Y990" s="59">
        <v>5742</v>
      </c>
      <c r="Z990" s="59">
        <v>6485</v>
      </c>
      <c r="AA990" s="59">
        <v>6412</v>
      </c>
      <c r="AB990" s="59"/>
      <c r="AC990" s="59"/>
      <c r="AD990" s="59"/>
      <c r="AE990" s="59"/>
      <c r="AF990" s="59"/>
      <c r="AG990" s="59"/>
      <c r="AH990" s="59"/>
      <c r="AI990" s="59"/>
      <c r="AJ990" s="59"/>
      <c r="AK990" s="59"/>
    </row>
    <row r="991" spans="1:37" x14ac:dyDescent="0.25">
      <c r="D991" s="9" t="s">
        <v>315</v>
      </c>
      <c r="H991" t="s">
        <v>1507</v>
      </c>
      <c r="I991" s="59"/>
      <c r="J991" s="59"/>
      <c r="K991" s="59"/>
      <c r="L991" s="59"/>
      <c r="M991" s="59"/>
      <c r="N991" s="59"/>
      <c r="O991" s="59"/>
      <c r="P991" s="59"/>
      <c r="Q991" s="59">
        <v>2992</v>
      </c>
      <c r="R991" s="59">
        <v>2887</v>
      </c>
      <c r="S991" s="59">
        <v>6003</v>
      </c>
      <c r="T991" s="59">
        <v>6428</v>
      </c>
      <c r="U991" s="59">
        <v>6356</v>
      </c>
      <c r="V991" s="59">
        <v>6156</v>
      </c>
      <c r="W991" s="59">
        <v>5936</v>
      </c>
      <c r="X991" s="59">
        <v>6362</v>
      </c>
      <c r="Y991" s="59">
        <v>6115</v>
      </c>
      <c r="Z991" s="59">
        <v>6222</v>
      </c>
      <c r="AA991" s="59">
        <v>6425</v>
      </c>
      <c r="AB991" s="59"/>
      <c r="AC991" s="59"/>
      <c r="AD991" s="59"/>
      <c r="AE991" s="59"/>
      <c r="AF991" s="59"/>
      <c r="AG991" s="59"/>
      <c r="AH991" s="59"/>
      <c r="AI991" s="59"/>
      <c r="AJ991" s="59"/>
      <c r="AK991" s="59"/>
    </row>
    <row r="992" spans="1:37" x14ac:dyDescent="0.25">
      <c r="D992" s="9" t="s">
        <v>316</v>
      </c>
      <c r="H992" t="s">
        <v>1507</v>
      </c>
      <c r="I992" s="59"/>
      <c r="J992" s="59"/>
      <c r="K992" s="59"/>
      <c r="L992" s="59"/>
      <c r="M992" s="59"/>
      <c r="N992" s="59"/>
      <c r="O992" s="59"/>
      <c r="P992" s="59"/>
      <c r="Q992" s="59">
        <v>833</v>
      </c>
      <c r="R992" s="59">
        <v>968</v>
      </c>
      <c r="S992" s="59">
        <v>2120</v>
      </c>
      <c r="T992" s="59">
        <v>2382</v>
      </c>
      <c r="U992" s="59">
        <v>2240</v>
      </c>
      <c r="V992" s="59">
        <v>593</v>
      </c>
      <c r="W992" s="59">
        <v>567</v>
      </c>
      <c r="X992" s="59">
        <v>787</v>
      </c>
      <c r="Y992" s="59">
        <v>2046</v>
      </c>
      <c r="Z992" s="59">
        <v>0</v>
      </c>
      <c r="AA992" s="59">
        <v>0</v>
      </c>
      <c r="AB992" s="59"/>
      <c r="AC992" s="59"/>
      <c r="AD992" s="59"/>
      <c r="AE992" s="59"/>
      <c r="AF992" s="59"/>
      <c r="AG992" s="59"/>
      <c r="AH992" s="59"/>
      <c r="AI992" s="59"/>
      <c r="AJ992" s="59"/>
      <c r="AK992" s="59"/>
    </row>
    <row r="993" spans="1:37" x14ac:dyDescent="0.25">
      <c r="D993" s="9" t="s">
        <v>317</v>
      </c>
      <c r="H993" t="s">
        <v>1507</v>
      </c>
      <c r="I993" s="59"/>
      <c r="J993" s="59"/>
      <c r="K993" s="59"/>
      <c r="L993" s="59"/>
      <c r="M993" s="59"/>
      <c r="N993" s="59"/>
      <c r="O993" s="59"/>
      <c r="P993" s="59"/>
      <c r="Q993" s="59">
        <v>0</v>
      </c>
      <c r="R993" s="59">
        <v>0</v>
      </c>
      <c r="S993" s="59">
        <v>0</v>
      </c>
      <c r="T993" s="59">
        <v>0</v>
      </c>
      <c r="U993" s="59">
        <v>0</v>
      </c>
      <c r="V993" s="59">
        <v>0</v>
      </c>
      <c r="W993" s="59">
        <v>0</v>
      </c>
      <c r="X993" s="59">
        <v>0</v>
      </c>
      <c r="Y993" s="59">
        <v>0</v>
      </c>
      <c r="Z993" s="59">
        <v>0</v>
      </c>
      <c r="AA993" s="59">
        <v>0</v>
      </c>
      <c r="AB993" s="59"/>
      <c r="AC993" s="59"/>
      <c r="AD993" s="59"/>
      <c r="AE993" s="59"/>
      <c r="AF993" s="59"/>
      <c r="AG993" s="59"/>
      <c r="AH993" s="59"/>
      <c r="AI993" s="59"/>
      <c r="AJ993" s="59"/>
      <c r="AK993" s="59"/>
    </row>
    <row r="994" spans="1:37" x14ac:dyDescent="0.25">
      <c r="D994" s="9" t="s">
        <v>318</v>
      </c>
      <c r="H994" t="s">
        <v>1507</v>
      </c>
      <c r="I994" s="59"/>
      <c r="J994" s="59"/>
      <c r="K994" s="59"/>
      <c r="L994" s="59"/>
      <c r="M994" s="59"/>
      <c r="N994" s="59"/>
      <c r="O994" s="59"/>
      <c r="P994" s="59"/>
      <c r="Q994" s="59">
        <v>25005</v>
      </c>
      <c r="R994" s="59">
        <v>21264</v>
      </c>
      <c r="S994" s="59">
        <v>16967</v>
      </c>
      <c r="T994" s="59">
        <v>21269</v>
      </c>
      <c r="U994" s="59">
        <v>21850</v>
      </c>
      <c r="V994" s="59">
        <v>39546</v>
      </c>
      <c r="W994" s="59">
        <v>35350</v>
      </c>
      <c r="X994" s="59">
        <v>40973</v>
      </c>
      <c r="Y994" s="59">
        <v>33489</v>
      </c>
      <c r="Z994" s="59">
        <v>27962</v>
      </c>
      <c r="AA994" s="59">
        <v>0</v>
      </c>
      <c r="AB994" s="59"/>
      <c r="AC994" s="59"/>
      <c r="AD994" s="59"/>
      <c r="AE994" s="59"/>
      <c r="AF994" s="59"/>
      <c r="AG994" s="59"/>
      <c r="AH994" s="59"/>
      <c r="AI994" s="59"/>
      <c r="AJ994" s="59"/>
      <c r="AK994" s="59"/>
    </row>
    <row r="995" spans="1:37" x14ac:dyDescent="0.25">
      <c r="D995" s="9" t="s">
        <v>319</v>
      </c>
      <c r="H995" t="s">
        <v>1507</v>
      </c>
      <c r="I995" s="59"/>
      <c r="J995" s="59"/>
      <c r="K995" s="59"/>
      <c r="L995" s="59"/>
      <c r="M995" s="59"/>
      <c r="N995" s="59"/>
      <c r="O995" s="59"/>
      <c r="P995" s="59"/>
      <c r="Q995" s="59">
        <v>113362</v>
      </c>
      <c r="R995" s="59">
        <v>108729</v>
      </c>
      <c r="S995" s="59">
        <v>125860</v>
      </c>
      <c r="T995" s="59">
        <v>129797</v>
      </c>
      <c r="U995" s="59">
        <v>122736</v>
      </c>
      <c r="V995" s="59">
        <v>143097</v>
      </c>
      <c r="W995" s="59">
        <v>139240</v>
      </c>
      <c r="X995" s="59">
        <v>147609</v>
      </c>
      <c r="Y995" s="59">
        <v>145615</v>
      </c>
      <c r="Z995" s="59">
        <v>111171</v>
      </c>
      <c r="AA995" s="59">
        <v>31015</v>
      </c>
      <c r="AB995" s="59"/>
      <c r="AC995" s="59"/>
      <c r="AD995" s="59"/>
      <c r="AE995" s="59"/>
      <c r="AF995" s="59"/>
      <c r="AG995" s="59"/>
      <c r="AH995" s="59"/>
      <c r="AI995" s="59"/>
      <c r="AJ995" s="59"/>
      <c r="AK995" s="59"/>
    </row>
    <row r="996" spans="1:37" x14ac:dyDescent="0.25">
      <c r="D996" s="9" t="s">
        <v>320</v>
      </c>
      <c r="H996" t="s">
        <v>1507</v>
      </c>
      <c r="I996" s="59"/>
      <c r="J996" s="59"/>
      <c r="K996" s="59"/>
      <c r="L996" s="59"/>
      <c r="M996" s="59"/>
      <c r="N996" s="59"/>
      <c r="O996" s="59"/>
      <c r="P996" s="59"/>
      <c r="Q996" s="59">
        <v>158025</v>
      </c>
      <c r="R996" s="59">
        <v>156919</v>
      </c>
      <c r="S996" s="59">
        <v>158774</v>
      </c>
      <c r="T996" s="59">
        <v>155932</v>
      </c>
      <c r="U996" s="59">
        <v>157090</v>
      </c>
      <c r="V996" s="59">
        <v>151494</v>
      </c>
      <c r="W996" s="59">
        <v>157684</v>
      </c>
      <c r="X996" s="59">
        <v>160393</v>
      </c>
      <c r="Y996" s="59">
        <v>159071</v>
      </c>
      <c r="Z996" s="59">
        <v>140627</v>
      </c>
      <c r="AA996" s="59">
        <v>81290</v>
      </c>
      <c r="AB996" s="59"/>
      <c r="AC996" s="59"/>
      <c r="AD996" s="59"/>
      <c r="AE996" s="59"/>
      <c r="AF996" s="59"/>
      <c r="AG996" s="59"/>
      <c r="AH996" s="59"/>
      <c r="AI996" s="59"/>
      <c r="AJ996" s="59"/>
      <c r="AK996" s="59"/>
    </row>
    <row r="997" spans="1:37" x14ac:dyDescent="0.25">
      <c r="D997" s="9" t="s">
        <v>321</v>
      </c>
      <c r="H997" t="s">
        <v>1507</v>
      </c>
      <c r="I997" s="59"/>
      <c r="J997" s="59"/>
      <c r="K997" s="59"/>
      <c r="L997" s="59"/>
      <c r="M997" s="59"/>
      <c r="N997" s="59"/>
      <c r="O997" s="59"/>
      <c r="P997" s="59"/>
      <c r="Q997" s="59">
        <v>139150</v>
      </c>
      <c r="R997" s="59">
        <v>137990</v>
      </c>
      <c r="S997" s="59">
        <v>141529</v>
      </c>
      <c r="T997" s="59">
        <v>145148</v>
      </c>
      <c r="U997" s="59">
        <v>144664</v>
      </c>
      <c r="V997" s="59">
        <v>142420</v>
      </c>
      <c r="W997" s="59">
        <v>152459</v>
      </c>
      <c r="X997" s="59">
        <v>161392</v>
      </c>
      <c r="Y997" s="59">
        <v>149828</v>
      </c>
      <c r="Z997" s="59">
        <v>123472</v>
      </c>
      <c r="AA997" s="59">
        <v>73855</v>
      </c>
      <c r="AB997" s="59"/>
      <c r="AC997" s="59"/>
      <c r="AD997" s="59"/>
      <c r="AE997" s="59"/>
      <c r="AF997" s="59"/>
      <c r="AG997" s="59"/>
      <c r="AH997" s="59"/>
      <c r="AI997" s="59"/>
      <c r="AJ997" s="59"/>
      <c r="AK997" s="59"/>
    </row>
    <row r="998" spans="1:37" x14ac:dyDescent="0.25">
      <c r="D998" s="9" t="s">
        <v>322</v>
      </c>
      <c r="H998" t="s">
        <v>1507</v>
      </c>
      <c r="I998" s="59"/>
      <c r="J998" s="59"/>
      <c r="K998" s="59"/>
      <c r="L998" s="59"/>
      <c r="M998" s="59"/>
      <c r="N998" s="59"/>
      <c r="O998" s="59"/>
      <c r="P998" s="59"/>
      <c r="Q998" s="59">
        <v>94333</v>
      </c>
      <c r="R998" s="59">
        <v>99634</v>
      </c>
      <c r="S998" s="59">
        <v>103416</v>
      </c>
      <c r="T998" s="59">
        <v>96510</v>
      </c>
      <c r="U998" s="59">
        <v>92211</v>
      </c>
      <c r="V998" s="59">
        <v>93598</v>
      </c>
      <c r="W998" s="59">
        <v>99777</v>
      </c>
      <c r="X998" s="59">
        <v>102063</v>
      </c>
      <c r="Y998" s="59">
        <v>134993</v>
      </c>
      <c r="Z998" s="59">
        <v>103448</v>
      </c>
      <c r="AA998" s="59">
        <v>35633</v>
      </c>
      <c r="AB998" s="59"/>
      <c r="AC998" s="59"/>
      <c r="AD998" s="59"/>
      <c r="AE998" s="59"/>
      <c r="AF998" s="59"/>
      <c r="AG998" s="59"/>
      <c r="AH998" s="59"/>
      <c r="AI998" s="59"/>
      <c r="AJ998" s="59"/>
      <c r="AK998" s="59"/>
    </row>
    <row r="999" spans="1:37" x14ac:dyDescent="0.25">
      <c r="D999" s="9" t="s">
        <v>323</v>
      </c>
      <c r="H999" t="s">
        <v>1507</v>
      </c>
      <c r="I999" s="59"/>
      <c r="J999" s="59"/>
      <c r="K999" s="59"/>
      <c r="L999" s="59"/>
      <c r="M999" s="59"/>
      <c r="N999" s="59"/>
      <c r="O999" s="59"/>
      <c r="P999" s="59"/>
      <c r="Q999" s="59">
        <v>16866</v>
      </c>
      <c r="R999" s="59">
        <v>14092</v>
      </c>
      <c r="S999" s="59">
        <v>19883</v>
      </c>
      <c r="T999" s="59">
        <v>7546</v>
      </c>
      <c r="U999" s="59">
        <v>21392</v>
      </c>
      <c r="V999" s="59">
        <v>12083</v>
      </c>
      <c r="W999" s="59">
        <v>12695</v>
      </c>
      <c r="X999" s="59">
        <v>13169</v>
      </c>
      <c r="Y999" s="59">
        <v>2585</v>
      </c>
      <c r="Z999" s="59">
        <v>15964</v>
      </c>
      <c r="AA999" s="59">
        <v>9659</v>
      </c>
      <c r="AB999" s="59"/>
      <c r="AC999" s="59"/>
      <c r="AD999" s="59"/>
      <c r="AE999" s="59"/>
      <c r="AF999" s="59"/>
      <c r="AG999" s="59"/>
      <c r="AH999" s="59"/>
      <c r="AI999" s="59"/>
      <c r="AJ999" s="59"/>
      <c r="AK999" s="59"/>
    </row>
    <row r="1000" spans="1:37" x14ac:dyDescent="0.25">
      <c r="D1000" s="9" t="s">
        <v>324</v>
      </c>
      <c r="H1000" t="s">
        <v>1507</v>
      </c>
      <c r="I1000" s="59"/>
      <c r="J1000" s="59"/>
      <c r="K1000" s="59"/>
      <c r="L1000" s="59"/>
      <c r="M1000" s="59"/>
      <c r="N1000" s="59"/>
      <c r="O1000" s="59"/>
      <c r="P1000" s="59"/>
      <c r="Q1000" s="59">
        <v>0</v>
      </c>
      <c r="R1000" s="59">
        <v>0</v>
      </c>
      <c r="S1000" s="59">
        <v>0</v>
      </c>
      <c r="T1000" s="59">
        <v>16</v>
      </c>
      <c r="U1000" s="59">
        <v>0</v>
      </c>
      <c r="V1000" s="59">
        <v>0</v>
      </c>
      <c r="W1000" s="59">
        <v>89</v>
      </c>
      <c r="X1000" s="59">
        <v>6</v>
      </c>
      <c r="Y1000" s="59">
        <v>13</v>
      </c>
      <c r="Z1000" s="59">
        <v>19</v>
      </c>
      <c r="AA1000" s="59">
        <v>0</v>
      </c>
      <c r="AB1000" s="59"/>
      <c r="AC1000" s="59"/>
      <c r="AD1000" s="59"/>
      <c r="AE1000" s="59"/>
      <c r="AF1000" s="59"/>
      <c r="AG1000" s="59"/>
      <c r="AH1000" s="59"/>
      <c r="AI1000" s="59"/>
      <c r="AJ1000" s="59"/>
      <c r="AK1000" s="59"/>
    </row>
    <row r="1001" spans="1:37" x14ac:dyDescent="0.25">
      <c r="D1001" s="9" t="s">
        <v>325</v>
      </c>
      <c r="H1001" t="s">
        <v>1507</v>
      </c>
      <c r="I1001" s="59"/>
      <c r="J1001" s="59"/>
      <c r="K1001" s="59"/>
      <c r="L1001" s="59"/>
      <c r="M1001" s="59"/>
      <c r="N1001" s="59"/>
      <c r="O1001" s="59"/>
      <c r="P1001" s="59"/>
      <c r="Q1001" s="59">
        <v>1167</v>
      </c>
      <c r="R1001" s="59">
        <v>2620</v>
      </c>
      <c r="S1001" s="59">
        <v>1797</v>
      </c>
      <c r="T1001" s="59">
        <v>1371</v>
      </c>
      <c r="U1001" s="59">
        <v>3027</v>
      </c>
      <c r="V1001" s="59">
        <v>2730</v>
      </c>
      <c r="W1001" s="59">
        <v>2994</v>
      </c>
      <c r="X1001" s="59">
        <v>2309</v>
      </c>
      <c r="Y1001" s="59">
        <v>2381</v>
      </c>
      <c r="Z1001" s="59">
        <v>1934</v>
      </c>
      <c r="AA1001" s="59">
        <v>0</v>
      </c>
      <c r="AB1001" s="59"/>
      <c r="AC1001" s="59"/>
      <c r="AD1001" s="59"/>
      <c r="AE1001" s="59"/>
      <c r="AF1001" s="59"/>
      <c r="AG1001" s="59"/>
      <c r="AH1001" s="59"/>
      <c r="AI1001" s="59"/>
      <c r="AJ1001" s="59"/>
      <c r="AK1001" s="59"/>
    </row>
    <row r="1002" spans="1:37" s="3" customFormat="1" x14ac:dyDescent="0.25">
      <c r="B1002" s="4"/>
      <c r="J1002" s="73"/>
      <c r="K1002" s="73"/>
      <c r="L1002" s="73"/>
      <c r="M1002" s="73"/>
      <c r="N1002" s="73"/>
    </row>
    <row r="1003" spans="1:37" s="37" customFormat="1" ht="17.25" x14ac:dyDescent="0.3">
      <c r="A1003" s="37" t="s">
        <v>669</v>
      </c>
    </row>
    <row r="1004" spans="1:37" x14ac:dyDescent="0.25">
      <c r="B1004" s="64" t="s">
        <v>31</v>
      </c>
      <c r="C1004" t="s">
        <v>668</v>
      </c>
    </row>
    <row r="1005" spans="1:37" x14ac:dyDescent="0.25">
      <c r="B1005" s="64" t="s">
        <v>32</v>
      </c>
      <c r="C1005" s="195" t="s">
        <v>401</v>
      </c>
    </row>
    <row r="1006" spans="1:37" x14ac:dyDescent="0.25">
      <c r="B1006" s="64"/>
      <c r="C1006" s="195" t="s">
        <v>409</v>
      </c>
    </row>
    <row r="1007" spans="1:37" x14ac:dyDescent="0.25">
      <c r="B1007" s="64" t="s">
        <v>331</v>
      </c>
      <c r="C1007" t="s">
        <v>1497</v>
      </c>
    </row>
    <row r="1008" spans="1:37" x14ac:dyDescent="0.25">
      <c r="B1008" s="64" t="s">
        <v>332</v>
      </c>
      <c r="C1008" t="s">
        <v>1499</v>
      </c>
    </row>
    <row r="1009" spans="1:37" s="34" customFormat="1" ht="15.75" thickBot="1" x14ac:dyDescent="0.3">
      <c r="B1009" s="65" t="s">
        <v>334</v>
      </c>
      <c r="C1009" s="34" t="s">
        <v>1498</v>
      </c>
    </row>
    <row r="1010" spans="1:37" s="13" customFormat="1" ht="15.75" thickTop="1" x14ac:dyDescent="0.25">
      <c r="B1010" s="64" t="s">
        <v>34</v>
      </c>
      <c r="C1010" s="15" t="s">
        <v>667</v>
      </c>
      <c r="H1010" s="13" t="s">
        <v>1506</v>
      </c>
      <c r="I1010" s="62">
        <v>633448.55000000005</v>
      </c>
      <c r="J1010" s="62">
        <v>613435.16499999992</v>
      </c>
      <c r="K1010" s="62">
        <v>598082.87666666659</v>
      </c>
      <c r="L1010" s="62">
        <v>601353.69333333324</v>
      </c>
      <c r="M1010" s="62">
        <v>623237.20333333313</v>
      </c>
      <c r="N1010" s="62">
        <v>622355.80333333311</v>
      </c>
      <c r="O1010" s="62">
        <v>622769.62</v>
      </c>
      <c r="P1010" s="62">
        <v>686240.34799999988</v>
      </c>
      <c r="Q1010" s="62">
        <v>681946.68699999992</v>
      </c>
      <c r="R1010" s="62">
        <v>655857.08033333276</v>
      </c>
      <c r="S1010" s="62">
        <v>649958.44799999974</v>
      </c>
      <c r="T1010" s="62">
        <v>645163.75499999966</v>
      </c>
      <c r="U1010" s="62">
        <v>663234.30866666639</v>
      </c>
      <c r="V1010" s="62">
        <v>697077</v>
      </c>
      <c r="W1010" s="62">
        <v>704534</v>
      </c>
      <c r="X1010" s="62">
        <v>797060</v>
      </c>
      <c r="Y1010" s="62">
        <v>834907</v>
      </c>
      <c r="Z1010" s="62">
        <v>821394</v>
      </c>
      <c r="AA1010" s="62"/>
      <c r="AB1010" s="62"/>
      <c r="AC1010" s="62"/>
      <c r="AD1010" s="62"/>
      <c r="AE1010" s="62"/>
      <c r="AF1010" s="62"/>
      <c r="AG1010" s="62"/>
      <c r="AH1010" s="62"/>
      <c r="AI1010" s="62"/>
      <c r="AJ1010" s="62"/>
      <c r="AK1010" s="62"/>
    </row>
    <row r="1011" spans="1:37" s="3" customFormat="1" x14ac:dyDescent="0.25">
      <c r="B1011" s="4"/>
      <c r="J1011" s="73"/>
      <c r="K1011" s="73"/>
      <c r="L1011" s="73"/>
      <c r="M1011" s="73"/>
      <c r="N1011" s="73"/>
    </row>
    <row r="1012" spans="1:37" s="37" customFormat="1" ht="17.25" x14ac:dyDescent="0.3">
      <c r="A1012" s="37" t="s">
        <v>670</v>
      </c>
    </row>
    <row r="1013" spans="1:37" x14ac:dyDescent="0.25">
      <c r="B1013" s="64" t="s">
        <v>31</v>
      </c>
      <c r="C1013" t="s">
        <v>671</v>
      </c>
    </row>
    <row r="1014" spans="1:37" x14ac:dyDescent="0.25">
      <c r="B1014" s="64" t="s">
        <v>32</v>
      </c>
      <c r="C1014" s="195" t="s">
        <v>401</v>
      </c>
    </row>
    <row r="1015" spans="1:37" s="223" customFormat="1" x14ac:dyDescent="0.25">
      <c r="B1015" s="64"/>
      <c r="C1015" s="195" t="s">
        <v>409</v>
      </c>
    </row>
    <row r="1016" spans="1:37" s="223" customFormat="1" x14ac:dyDescent="0.25">
      <c r="B1016" s="64"/>
      <c r="C1016" s="195" t="s">
        <v>413</v>
      </c>
    </row>
    <row r="1017" spans="1:37" x14ac:dyDescent="0.25">
      <c r="B1017" s="64" t="s">
        <v>331</v>
      </c>
      <c r="C1017" s="160"/>
      <c r="D1017" t="s">
        <v>1544</v>
      </c>
    </row>
    <row r="1018" spans="1:37" x14ac:dyDescent="0.25">
      <c r="B1018" s="64"/>
      <c r="C1018" s="159"/>
      <c r="D1018" t="s">
        <v>1545</v>
      </c>
    </row>
    <row r="1019" spans="1:37" x14ac:dyDescent="0.25">
      <c r="B1019" s="64" t="s">
        <v>332</v>
      </c>
      <c r="C1019" t="s">
        <v>1500</v>
      </c>
    </row>
    <row r="1020" spans="1:37" x14ac:dyDescent="0.25">
      <c r="B1020" s="71" t="s">
        <v>334</v>
      </c>
      <c r="C1020" s="164"/>
      <c r="D1020" t="s">
        <v>685</v>
      </c>
    </row>
    <row r="1021" spans="1:37" x14ac:dyDescent="0.25">
      <c r="C1021" s="5" t="s">
        <v>673</v>
      </c>
    </row>
    <row r="1022" spans="1:37" s="34" customFormat="1" ht="15.75" thickBot="1" x14ac:dyDescent="0.3">
      <c r="B1022" s="65"/>
      <c r="D1022" s="269" t="s">
        <v>1546</v>
      </c>
    </row>
    <row r="1023" spans="1:37" s="13" customFormat="1" ht="15.75" thickTop="1" x14ac:dyDescent="0.25">
      <c r="B1023" s="64" t="s">
        <v>34</v>
      </c>
      <c r="C1023" s="15" t="s">
        <v>672</v>
      </c>
      <c r="H1023" s="13" t="s">
        <v>1505</v>
      </c>
      <c r="I1023" s="62"/>
      <c r="J1023" s="62"/>
      <c r="K1023" s="62"/>
      <c r="L1023" s="62"/>
      <c r="M1023" s="62"/>
      <c r="N1023" s="62"/>
      <c r="O1023" s="62"/>
      <c r="P1023" s="62">
        <f t="shared" ref="P1023:AK1023" si="172">SUM(P1024:P1035)</f>
        <v>103403</v>
      </c>
      <c r="Q1023" s="62">
        <f t="shared" si="172"/>
        <v>99461</v>
      </c>
      <c r="R1023" s="62">
        <f t="shared" si="172"/>
        <v>94460</v>
      </c>
      <c r="S1023" s="62">
        <f t="shared" si="172"/>
        <v>96230</v>
      </c>
      <c r="T1023" s="62">
        <f t="shared" si="172"/>
        <v>98285</v>
      </c>
      <c r="U1023" s="62">
        <f t="shared" si="172"/>
        <v>102180</v>
      </c>
      <c r="V1023" s="62">
        <f t="shared" si="172"/>
        <v>110869</v>
      </c>
      <c r="W1023" s="62">
        <f t="shared" si="172"/>
        <v>117828</v>
      </c>
      <c r="X1023" s="62">
        <f t="shared" si="172"/>
        <v>125200.88780894905</v>
      </c>
      <c r="Y1023" s="62">
        <f t="shared" si="172"/>
        <v>129785.30477201279</v>
      </c>
      <c r="Z1023" s="62">
        <f t="shared" si="172"/>
        <v>132760.04972928966</v>
      </c>
      <c r="AA1023" s="62">
        <f t="shared" si="172"/>
        <v>130574.18999037566</v>
      </c>
      <c r="AB1023" s="62">
        <f t="shared" si="172"/>
        <v>0</v>
      </c>
      <c r="AC1023" s="62">
        <f t="shared" si="172"/>
        <v>0</v>
      </c>
      <c r="AD1023" s="62">
        <f t="shared" si="172"/>
        <v>0</v>
      </c>
      <c r="AE1023" s="62">
        <f t="shared" si="172"/>
        <v>0</v>
      </c>
      <c r="AF1023" s="62">
        <f t="shared" si="172"/>
        <v>0</v>
      </c>
      <c r="AG1023" s="62">
        <f t="shared" si="172"/>
        <v>0</v>
      </c>
      <c r="AH1023" s="62">
        <f t="shared" si="172"/>
        <v>0</v>
      </c>
      <c r="AI1023" s="62">
        <f t="shared" si="172"/>
        <v>0</v>
      </c>
      <c r="AJ1023" s="62">
        <f t="shared" si="172"/>
        <v>0</v>
      </c>
      <c r="AK1023" s="62">
        <f t="shared" si="172"/>
        <v>0</v>
      </c>
    </row>
    <row r="1024" spans="1:37" x14ac:dyDescent="0.25">
      <c r="D1024" s="9" t="s">
        <v>314</v>
      </c>
      <c r="H1024" t="s">
        <v>1505</v>
      </c>
      <c r="I1024" s="59"/>
      <c r="J1024" s="59"/>
      <c r="K1024" s="59"/>
      <c r="L1024" s="59"/>
      <c r="M1024" s="59"/>
      <c r="N1024" s="59"/>
      <c r="O1024" s="59"/>
      <c r="P1024" s="59">
        <v>6645</v>
      </c>
      <c r="Q1024" s="59">
        <v>6412</v>
      </c>
      <c r="R1024" s="59">
        <v>6204</v>
      </c>
      <c r="S1024" s="59">
        <v>5685</v>
      </c>
      <c r="T1024" s="59">
        <v>5866</v>
      </c>
      <c r="U1024" s="59">
        <v>5861</v>
      </c>
      <c r="V1024" s="59">
        <v>6635</v>
      </c>
      <c r="W1024" s="59">
        <v>7373</v>
      </c>
      <c r="X1024" s="163">
        <f t="shared" ref="X1024:AA1032" si="173">$W1024*X1037/$W1037</f>
        <v>7659.1138025332093</v>
      </c>
      <c r="Y1024" s="163">
        <f t="shared" si="173"/>
        <v>8392.9716228199832</v>
      </c>
      <c r="Z1024" s="163">
        <f t="shared" si="173"/>
        <v>8621.8114099911327</v>
      </c>
      <c r="AA1024" s="59">
        <v>8728</v>
      </c>
      <c r="AB1024" s="59"/>
      <c r="AC1024" s="59"/>
      <c r="AD1024" s="59"/>
      <c r="AE1024" s="59"/>
      <c r="AF1024" s="59"/>
      <c r="AG1024" s="59"/>
      <c r="AH1024" s="59"/>
      <c r="AI1024" s="59"/>
      <c r="AJ1024" s="59"/>
      <c r="AK1024" s="59"/>
    </row>
    <row r="1025" spans="2:37" x14ac:dyDescent="0.25">
      <c r="D1025" s="9" t="s">
        <v>315</v>
      </c>
      <c r="H1025" t="s">
        <v>1505</v>
      </c>
      <c r="I1025" s="59"/>
      <c r="J1025" s="59"/>
      <c r="K1025" s="59"/>
      <c r="L1025" s="59"/>
      <c r="M1025" s="59"/>
      <c r="N1025" s="59"/>
      <c r="O1025" s="59"/>
      <c r="P1025" s="59">
        <v>6772</v>
      </c>
      <c r="Q1025" s="59">
        <v>6432</v>
      </c>
      <c r="R1025" s="59">
        <v>6205</v>
      </c>
      <c r="S1025" s="59">
        <v>6013</v>
      </c>
      <c r="T1025" s="59">
        <v>6175</v>
      </c>
      <c r="U1025" s="59">
        <v>6143</v>
      </c>
      <c r="V1025" s="59">
        <v>6830</v>
      </c>
      <c r="W1025" s="59">
        <v>7362</v>
      </c>
      <c r="X1025" s="163">
        <f t="shared" si="173"/>
        <v>7596.2454545454548</v>
      </c>
      <c r="Y1025" s="163">
        <f t="shared" si="173"/>
        <v>8324.079545454546</v>
      </c>
      <c r="Z1025" s="163">
        <f t="shared" si="173"/>
        <v>8635.7096590909096</v>
      </c>
      <c r="AA1025" s="59">
        <v>8928</v>
      </c>
      <c r="AB1025" s="59"/>
      <c r="AC1025" s="59"/>
      <c r="AD1025" s="59"/>
      <c r="AE1025" s="59"/>
      <c r="AF1025" s="59"/>
      <c r="AG1025" s="59"/>
      <c r="AH1025" s="59"/>
      <c r="AI1025" s="59"/>
      <c r="AJ1025" s="59"/>
      <c r="AK1025" s="59"/>
    </row>
    <row r="1026" spans="2:37" x14ac:dyDescent="0.25">
      <c r="D1026" s="9" t="s">
        <v>316</v>
      </c>
      <c r="H1026" t="s">
        <v>1505</v>
      </c>
      <c r="I1026" s="59"/>
      <c r="J1026" s="59"/>
      <c r="K1026" s="59"/>
      <c r="L1026" s="59"/>
      <c r="M1026" s="59"/>
      <c r="N1026" s="59"/>
      <c r="O1026" s="59"/>
      <c r="P1026" s="59">
        <v>6672</v>
      </c>
      <c r="Q1026" s="59">
        <v>6631</v>
      </c>
      <c r="R1026" s="59">
        <v>6176</v>
      </c>
      <c r="S1026" s="59">
        <v>6245</v>
      </c>
      <c r="T1026" s="59">
        <v>6335</v>
      </c>
      <c r="U1026" s="59">
        <v>6425</v>
      </c>
      <c r="V1026" s="59">
        <v>6926</v>
      </c>
      <c r="W1026" s="59">
        <v>7515</v>
      </c>
      <c r="X1026" s="163">
        <f t="shared" si="173"/>
        <v>7717.7725770925108</v>
      </c>
      <c r="Y1026" s="163">
        <f t="shared" si="173"/>
        <v>8655.078469162996</v>
      </c>
      <c r="Z1026" s="163">
        <f t="shared" si="173"/>
        <v>8868.1965859030843</v>
      </c>
      <c r="AA1026" s="59">
        <v>7952</v>
      </c>
      <c r="AB1026" s="59"/>
      <c r="AC1026" s="59"/>
      <c r="AD1026" s="59"/>
      <c r="AE1026" s="59"/>
      <c r="AF1026" s="59"/>
      <c r="AG1026" s="59"/>
      <c r="AH1026" s="59"/>
      <c r="AI1026" s="59"/>
      <c r="AJ1026" s="59"/>
      <c r="AK1026" s="59"/>
    </row>
    <row r="1027" spans="2:37" x14ac:dyDescent="0.25">
      <c r="D1027" s="9" t="s">
        <v>317</v>
      </c>
      <c r="H1027" t="s">
        <v>1505</v>
      </c>
      <c r="J1027" s="70"/>
      <c r="K1027" s="70"/>
      <c r="L1027" s="70"/>
      <c r="M1027" s="70"/>
      <c r="N1027" s="70"/>
      <c r="P1027" s="59">
        <v>6968</v>
      </c>
      <c r="Q1027" s="59">
        <v>6525</v>
      </c>
      <c r="R1027" s="59">
        <v>6335</v>
      </c>
      <c r="S1027" s="59">
        <v>6503</v>
      </c>
      <c r="T1027" s="59">
        <v>6537</v>
      </c>
      <c r="U1027" s="59">
        <v>6921</v>
      </c>
      <c r="V1027" s="59">
        <v>7338</v>
      </c>
      <c r="W1027" s="59">
        <v>8001</v>
      </c>
      <c r="X1027" s="163">
        <f t="shared" si="173"/>
        <v>8754.0595667870039</v>
      </c>
      <c r="Y1027" s="163">
        <f t="shared" si="173"/>
        <v>8983.0722021660658</v>
      </c>
      <c r="Z1027" s="163">
        <f t="shared" si="173"/>
        <v>9133.6841155234652</v>
      </c>
      <c r="AA1027" s="59">
        <v>6968</v>
      </c>
    </row>
    <row r="1028" spans="2:37" x14ac:dyDescent="0.25">
      <c r="D1028" s="9" t="s">
        <v>318</v>
      </c>
      <c r="H1028" t="s">
        <v>1505</v>
      </c>
      <c r="J1028" s="70"/>
      <c r="K1028" s="70"/>
      <c r="L1028" s="70"/>
      <c r="M1028" s="70"/>
      <c r="N1028" s="70"/>
      <c r="P1028" s="59">
        <v>8889</v>
      </c>
      <c r="Q1028" s="59">
        <v>7999</v>
      </c>
      <c r="R1028" s="59">
        <v>6475</v>
      </c>
      <c r="S1028" s="59">
        <v>8117</v>
      </c>
      <c r="T1028" s="59">
        <v>8315</v>
      </c>
      <c r="U1028" s="59">
        <v>8649</v>
      </c>
      <c r="V1028" s="59">
        <v>9206</v>
      </c>
      <c r="W1028" s="59">
        <v>10197</v>
      </c>
      <c r="X1028" s="163">
        <f t="shared" si="173"/>
        <v>10659.263999999999</v>
      </c>
      <c r="Y1028" s="163">
        <f t="shared" si="173"/>
        <v>11157.086769230769</v>
      </c>
      <c r="Z1028" s="163">
        <f t="shared" si="173"/>
        <v>11405.998153846154</v>
      </c>
      <c r="AA1028" s="163">
        <f t="shared" si="173"/>
        <v>10228.375384615385</v>
      </c>
    </row>
    <row r="1029" spans="2:37" x14ac:dyDescent="0.25">
      <c r="D1029" s="9" t="s">
        <v>319</v>
      </c>
      <c r="H1029" t="s">
        <v>1505</v>
      </c>
      <c r="J1029" s="70"/>
      <c r="K1029" s="70"/>
      <c r="L1029" s="70"/>
      <c r="M1029" s="70"/>
      <c r="N1029" s="70"/>
      <c r="P1029" s="59">
        <v>10609</v>
      </c>
      <c r="Q1029" s="59">
        <v>10377</v>
      </c>
      <c r="R1029" s="59">
        <v>9922</v>
      </c>
      <c r="S1029" s="59">
        <v>10474</v>
      </c>
      <c r="T1029" s="59">
        <v>10720</v>
      </c>
      <c r="U1029" s="59">
        <v>10976</v>
      </c>
      <c r="V1029" s="59">
        <v>12022</v>
      </c>
      <c r="W1029" s="59">
        <v>12882</v>
      </c>
      <c r="X1029" s="163">
        <f t="shared" si="173"/>
        <v>13335.724070767732</v>
      </c>
      <c r="Y1029" s="163">
        <f t="shared" si="173"/>
        <v>13634.721960720663</v>
      </c>
      <c r="Z1029" s="163">
        <f t="shared" si="173"/>
        <v>14205.536114267165</v>
      </c>
      <c r="AA1029" s="163">
        <f t="shared" si="173"/>
        <v>13189.361467294271</v>
      </c>
    </row>
    <row r="1030" spans="2:37" x14ac:dyDescent="0.25">
      <c r="D1030" s="9" t="s">
        <v>320</v>
      </c>
      <c r="H1030" t="s">
        <v>1505</v>
      </c>
      <c r="J1030" s="70"/>
      <c r="K1030" s="70"/>
      <c r="L1030" s="70"/>
      <c r="M1030" s="70"/>
      <c r="N1030" s="70"/>
      <c r="P1030" s="59">
        <v>12526</v>
      </c>
      <c r="Q1030" s="59">
        <v>12313</v>
      </c>
      <c r="R1030" s="59">
        <v>11489</v>
      </c>
      <c r="S1030" s="59">
        <v>11822</v>
      </c>
      <c r="T1030" s="59">
        <v>12192</v>
      </c>
      <c r="U1030" s="59">
        <v>12808</v>
      </c>
      <c r="V1030" s="59">
        <v>13673</v>
      </c>
      <c r="W1030" s="59">
        <v>13907</v>
      </c>
      <c r="X1030" s="163">
        <f t="shared" si="173"/>
        <v>14493.767725097869</v>
      </c>
      <c r="Y1030" s="163">
        <f t="shared" si="173"/>
        <v>14967.61794983326</v>
      </c>
      <c r="Z1030" s="163">
        <f t="shared" si="173"/>
        <v>15167.239959402639</v>
      </c>
      <c r="AA1030" s="163">
        <f t="shared" si="173"/>
        <v>15320.485138466</v>
      </c>
    </row>
    <row r="1031" spans="2:37" x14ac:dyDescent="0.25">
      <c r="D1031" s="9" t="s">
        <v>321</v>
      </c>
      <c r="H1031" t="s">
        <v>1505</v>
      </c>
      <c r="J1031" s="70"/>
      <c r="K1031" s="70"/>
      <c r="L1031" s="70"/>
      <c r="M1031" s="70"/>
      <c r="N1031" s="70"/>
      <c r="P1031" s="59">
        <v>11706</v>
      </c>
      <c r="Q1031" s="59">
        <v>11666</v>
      </c>
      <c r="R1031" s="59">
        <v>11163</v>
      </c>
      <c r="S1031" s="59">
        <v>11292</v>
      </c>
      <c r="T1031" s="59">
        <v>11354</v>
      </c>
      <c r="U1031" s="59">
        <v>11874</v>
      </c>
      <c r="V1031" s="59">
        <v>12740</v>
      </c>
      <c r="W1031" s="59">
        <v>13383</v>
      </c>
      <c r="X1031" s="163">
        <f t="shared" si="173"/>
        <v>14749.640470588236</v>
      </c>
      <c r="Y1031" s="163">
        <f t="shared" si="173"/>
        <v>14462.037176470589</v>
      </c>
      <c r="Z1031" s="163">
        <f t="shared" si="173"/>
        <v>15140.109176470589</v>
      </c>
      <c r="AA1031" s="163">
        <f t="shared" si="173"/>
        <v>15559.968000000001</v>
      </c>
    </row>
    <row r="1032" spans="2:37" x14ac:dyDescent="0.25">
      <c r="D1032" s="9" t="s">
        <v>322</v>
      </c>
      <c r="H1032" t="s">
        <v>1505</v>
      </c>
      <c r="J1032" s="70"/>
      <c r="K1032" s="70"/>
      <c r="L1032" s="70"/>
      <c r="M1032" s="70"/>
      <c r="N1032" s="70"/>
      <c r="P1032" s="59">
        <v>10227</v>
      </c>
      <c r="Q1032" s="59">
        <v>10231</v>
      </c>
      <c r="R1032" s="59">
        <v>9942</v>
      </c>
      <c r="S1032" s="59">
        <v>9965</v>
      </c>
      <c r="T1032" s="59">
        <v>9864</v>
      </c>
      <c r="U1032" s="59">
        <v>10595</v>
      </c>
      <c r="V1032" s="59">
        <v>11307</v>
      </c>
      <c r="W1032" s="59">
        <v>11895</v>
      </c>
      <c r="X1032" s="163">
        <f t="shared" si="173"/>
        <v>12387.909246575342</v>
      </c>
      <c r="Y1032" s="163">
        <f t="shared" si="173"/>
        <v>13271.88698630137</v>
      </c>
      <c r="Z1032" s="163">
        <f t="shared" si="173"/>
        <v>13375.764554794521</v>
      </c>
      <c r="AA1032" s="59">
        <v>14055</v>
      </c>
    </row>
    <row r="1033" spans="2:37" x14ac:dyDescent="0.25">
      <c r="D1033" s="9" t="s">
        <v>323</v>
      </c>
      <c r="H1033" t="s">
        <v>1505</v>
      </c>
      <c r="J1033" s="70"/>
      <c r="K1033" s="70"/>
      <c r="L1033" s="70"/>
      <c r="M1033" s="70"/>
      <c r="N1033" s="70"/>
      <c r="P1033" s="59">
        <v>8294</v>
      </c>
      <c r="Q1033" s="59">
        <v>8044</v>
      </c>
      <c r="R1033" s="59">
        <v>7983</v>
      </c>
      <c r="S1033" s="59">
        <v>7922</v>
      </c>
      <c r="T1033" s="59">
        <v>8119</v>
      </c>
      <c r="U1033" s="59">
        <v>8694</v>
      </c>
      <c r="V1033" s="59">
        <v>9599</v>
      </c>
      <c r="W1033" s="59">
        <v>9560</v>
      </c>
      <c r="X1033" s="163">
        <f t="shared" ref="X1033:Y1035" si="174">$W1033*X1046/$W1046</f>
        <v>10758.428602957405</v>
      </c>
      <c r="Y1033" s="163">
        <f t="shared" si="174"/>
        <v>10838.605164422865</v>
      </c>
      <c r="Z1033" s="156">
        <v>10710</v>
      </c>
      <c r="AA1033" s="59">
        <v>11741</v>
      </c>
    </row>
    <row r="1034" spans="2:37" x14ac:dyDescent="0.25">
      <c r="D1034" s="9" t="s">
        <v>324</v>
      </c>
      <c r="H1034" t="s">
        <v>1505</v>
      </c>
      <c r="J1034" s="70"/>
      <c r="K1034" s="70"/>
      <c r="L1034" s="70"/>
      <c r="M1034" s="70"/>
      <c r="N1034" s="70"/>
      <c r="P1034" s="59">
        <v>7363</v>
      </c>
      <c r="Q1034" s="59">
        <v>6374</v>
      </c>
      <c r="R1034" s="59">
        <v>6304</v>
      </c>
      <c r="S1034" s="59">
        <v>6347</v>
      </c>
      <c r="T1034" s="59">
        <v>6861</v>
      </c>
      <c r="U1034" s="59">
        <v>6715</v>
      </c>
      <c r="V1034" s="59">
        <v>7209</v>
      </c>
      <c r="W1034" s="59">
        <v>7931</v>
      </c>
      <c r="X1034" s="163">
        <f t="shared" si="174"/>
        <v>8631.6401554404147</v>
      </c>
      <c r="Y1034" s="163">
        <f t="shared" si="174"/>
        <v>8664.5147668393784</v>
      </c>
      <c r="Z1034" s="156">
        <v>8929</v>
      </c>
      <c r="AA1034" s="59">
        <v>8914</v>
      </c>
    </row>
    <row r="1035" spans="2:37" x14ac:dyDescent="0.25">
      <c r="D1035" s="9" t="s">
        <v>325</v>
      </c>
      <c r="H1035" t="s">
        <v>1505</v>
      </c>
      <c r="J1035" s="70"/>
      <c r="K1035" s="70"/>
      <c r="L1035" s="70"/>
      <c r="M1035" s="70"/>
      <c r="N1035" s="70"/>
      <c r="P1035" s="59">
        <v>6732</v>
      </c>
      <c r="Q1035" s="59">
        <v>6457</v>
      </c>
      <c r="R1035" s="59">
        <v>6262</v>
      </c>
      <c r="S1035" s="59">
        <v>5845</v>
      </c>
      <c r="T1035" s="59">
        <v>5947</v>
      </c>
      <c r="U1035" s="59">
        <v>6519</v>
      </c>
      <c r="V1035" s="59">
        <v>7384</v>
      </c>
      <c r="W1035" s="59">
        <v>7822</v>
      </c>
      <c r="X1035" s="163">
        <f t="shared" si="174"/>
        <v>8457.3221365638765</v>
      </c>
      <c r="Y1035" s="163">
        <f t="shared" si="174"/>
        <v>8433.6321585903079</v>
      </c>
      <c r="Z1035" s="156">
        <v>8567</v>
      </c>
      <c r="AA1035" s="59">
        <v>8990</v>
      </c>
    </row>
    <row r="1036" spans="2:37" s="13" customFormat="1" x14ac:dyDescent="0.25">
      <c r="B1036" s="14"/>
      <c r="C1036" s="15" t="s">
        <v>676</v>
      </c>
      <c r="H1036" s="13" t="s">
        <v>1505</v>
      </c>
      <c r="J1036" s="161"/>
      <c r="K1036" s="161"/>
      <c r="L1036" s="161"/>
      <c r="M1036" s="161"/>
      <c r="N1036" s="161"/>
      <c r="P1036" s="62">
        <f t="shared" ref="P1036:AK1036" si="175">SUM(P1037:P1048)</f>
        <v>0</v>
      </c>
      <c r="Q1036" s="62">
        <f t="shared" si="175"/>
        <v>0</v>
      </c>
      <c r="R1036" s="62">
        <f t="shared" si="175"/>
        <v>19729</v>
      </c>
      <c r="S1036" s="62">
        <f t="shared" si="175"/>
        <v>44736</v>
      </c>
      <c r="T1036" s="62">
        <f t="shared" si="175"/>
        <v>45744</v>
      </c>
      <c r="U1036" s="62">
        <f t="shared" si="175"/>
        <v>48317</v>
      </c>
      <c r="V1036" s="62">
        <f t="shared" si="175"/>
        <v>52865</v>
      </c>
      <c r="W1036" s="62">
        <f t="shared" si="175"/>
        <v>56584</v>
      </c>
      <c r="X1036" s="62">
        <f t="shared" si="175"/>
        <v>60116.279396984923</v>
      </c>
      <c r="Y1036" s="62">
        <f t="shared" si="175"/>
        <v>62321</v>
      </c>
      <c r="Z1036" s="62">
        <f t="shared" si="175"/>
        <v>64218</v>
      </c>
      <c r="AA1036" s="62">
        <f t="shared" si="175"/>
        <v>64492.930313588848</v>
      </c>
      <c r="AB1036" s="62">
        <f t="shared" si="175"/>
        <v>0</v>
      </c>
      <c r="AC1036" s="62">
        <f t="shared" si="175"/>
        <v>0</v>
      </c>
      <c r="AD1036" s="62">
        <f t="shared" si="175"/>
        <v>0</v>
      </c>
      <c r="AE1036" s="62">
        <f t="shared" si="175"/>
        <v>0</v>
      </c>
      <c r="AF1036" s="62">
        <f t="shared" si="175"/>
        <v>0</v>
      </c>
      <c r="AG1036" s="62">
        <f t="shared" si="175"/>
        <v>0</v>
      </c>
      <c r="AH1036" s="62">
        <f t="shared" si="175"/>
        <v>0</v>
      </c>
      <c r="AI1036" s="62">
        <f t="shared" si="175"/>
        <v>0</v>
      </c>
      <c r="AJ1036" s="62">
        <f t="shared" si="175"/>
        <v>0</v>
      </c>
      <c r="AK1036" s="62">
        <f t="shared" si="175"/>
        <v>0</v>
      </c>
    </row>
    <row r="1037" spans="2:37" x14ac:dyDescent="0.25">
      <c r="D1037" s="9" t="s">
        <v>314</v>
      </c>
      <c r="H1037" t="s">
        <v>1505</v>
      </c>
      <c r="J1037" s="70"/>
      <c r="K1037" s="70"/>
      <c r="L1037" s="70"/>
      <c r="M1037" s="70"/>
      <c r="N1037" s="70"/>
      <c r="P1037" s="156" t="s">
        <v>674</v>
      </c>
      <c r="Q1037" s="156" t="s">
        <v>674</v>
      </c>
      <c r="R1037" s="156" t="s">
        <v>674</v>
      </c>
      <c r="S1037" s="59">
        <v>2669</v>
      </c>
      <c r="T1037" s="59">
        <v>2640</v>
      </c>
      <c r="U1037" s="59">
        <v>2905</v>
      </c>
      <c r="V1037" s="59">
        <v>3167</v>
      </c>
      <c r="W1037" s="59">
        <v>3383</v>
      </c>
      <c r="X1037" s="156">
        <v>3514.2793969849245</v>
      </c>
      <c r="Y1037" s="156">
        <v>3851</v>
      </c>
      <c r="Z1037" s="157">
        <v>3956</v>
      </c>
      <c r="AA1037" s="59">
        <v>4206</v>
      </c>
    </row>
    <row r="1038" spans="2:37" x14ac:dyDescent="0.25">
      <c r="D1038" s="9" t="s">
        <v>315</v>
      </c>
      <c r="H1038" t="s">
        <v>1505</v>
      </c>
      <c r="J1038" s="70"/>
      <c r="K1038" s="70"/>
      <c r="L1038" s="70"/>
      <c r="M1038" s="70"/>
      <c r="N1038" s="70"/>
      <c r="P1038" s="156" t="s">
        <v>674</v>
      </c>
      <c r="Q1038" s="156" t="s">
        <v>674</v>
      </c>
      <c r="R1038" s="156" t="s">
        <v>674</v>
      </c>
      <c r="S1038" s="59">
        <v>2769</v>
      </c>
      <c r="T1038" s="59">
        <v>2838</v>
      </c>
      <c r="U1038" s="59">
        <v>2899</v>
      </c>
      <c r="V1038" s="59">
        <v>3286</v>
      </c>
      <c r="W1038" s="59">
        <v>3520</v>
      </c>
      <c r="X1038" s="156">
        <v>3632</v>
      </c>
      <c r="Y1038" s="156">
        <v>3980</v>
      </c>
      <c r="Z1038" s="156">
        <v>4129</v>
      </c>
      <c r="AA1038" s="59">
        <v>4330</v>
      </c>
    </row>
    <row r="1039" spans="2:37" x14ac:dyDescent="0.25">
      <c r="D1039" s="9" t="s">
        <v>316</v>
      </c>
      <c r="H1039" t="s">
        <v>1505</v>
      </c>
      <c r="J1039" s="70"/>
      <c r="K1039" s="70"/>
      <c r="L1039" s="70"/>
      <c r="M1039" s="70"/>
      <c r="N1039" s="70"/>
      <c r="P1039" s="156" t="s">
        <v>674</v>
      </c>
      <c r="Q1039" s="156" t="s">
        <v>674</v>
      </c>
      <c r="R1039" s="156" t="s">
        <v>674</v>
      </c>
      <c r="S1039" s="59">
        <v>2905</v>
      </c>
      <c r="T1039" s="59">
        <v>2983</v>
      </c>
      <c r="U1039" s="59">
        <v>3114</v>
      </c>
      <c r="V1039" s="59">
        <v>3398</v>
      </c>
      <c r="W1039" s="59">
        <v>3632</v>
      </c>
      <c r="X1039" s="156">
        <v>3730</v>
      </c>
      <c r="Y1039" s="156">
        <v>4183</v>
      </c>
      <c r="Z1039" s="156">
        <v>4286</v>
      </c>
      <c r="AA1039" s="59">
        <v>4036</v>
      </c>
    </row>
    <row r="1040" spans="2:37" x14ac:dyDescent="0.25">
      <c r="D1040" s="9" t="s">
        <v>317</v>
      </c>
      <c r="H1040" t="s">
        <v>1505</v>
      </c>
      <c r="J1040" s="70"/>
      <c r="K1040" s="70"/>
      <c r="L1040" s="70"/>
      <c r="M1040" s="70"/>
      <c r="N1040" s="70"/>
      <c r="P1040" s="156" t="s">
        <v>674</v>
      </c>
      <c r="Q1040" s="156" t="s">
        <v>674</v>
      </c>
      <c r="R1040" s="156" t="s">
        <v>674</v>
      </c>
      <c r="S1040" s="59">
        <v>3004</v>
      </c>
      <c r="T1040" s="59">
        <v>2998</v>
      </c>
      <c r="U1040" s="59">
        <v>3173</v>
      </c>
      <c r="V1040" s="59">
        <v>3572</v>
      </c>
      <c r="W1040" s="59">
        <v>3878</v>
      </c>
      <c r="X1040" s="156">
        <v>4243</v>
      </c>
      <c r="Y1040" s="156">
        <v>4354</v>
      </c>
      <c r="Z1040" s="156">
        <v>4427</v>
      </c>
      <c r="AA1040" s="163">
        <f>Z1040*AA1041/Z1041</f>
        <v>3969.9303135888504</v>
      </c>
    </row>
    <row r="1041" spans="3:37" x14ac:dyDescent="0.25">
      <c r="D1041" s="9" t="s">
        <v>318</v>
      </c>
      <c r="H1041" t="s">
        <v>1505</v>
      </c>
      <c r="J1041" s="70"/>
      <c r="K1041" s="70"/>
      <c r="L1041" s="70"/>
      <c r="M1041" s="70"/>
      <c r="N1041" s="70"/>
      <c r="P1041" s="156" t="s">
        <v>674</v>
      </c>
      <c r="Q1041" s="156" t="s">
        <v>674</v>
      </c>
      <c r="R1041" s="156" t="s">
        <v>674</v>
      </c>
      <c r="S1041" s="59">
        <v>3779</v>
      </c>
      <c r="T1041" s="59">
        <v>3815</v>
      </c>
      <c r="U1041" s="59">
        <v>3951</v>
      </c>
      <c r="V1041" s="59">
        <v>4407</v>
      </c>
      <c r="W1041" s="59">
        <v>4875</v>
      </c>
      <c r="X1041" s="156">
        <v>5096</v>
      </c>
      <c r="Y1041" s="156">
        <v>5334</v>
      </c>
      <c r="Z1041" s="156">
        <v>5453</v>
      </c>
      <c r="AA1041" s="59">
        <v>4890</v>
      </c>
    </row>
    <row r="1042" spans="3:37" x14ac:dyDescent="0.25">
      <c r="D1042" s="9" t="s">
        <v>319</v>
      </c>
      <c r="H1042" t="s">
        <v>1505</v>
      </c>
      <c r="J1042" s="70"/>
      <c r="K1042" s="70"/>
      <c r="L1042" s="70"/>
      <c r="M1042" s="70"/>
      <c r="N1042" s="70"/>
      <c r="P1042" s="156" t="s">
        <v>674</v>
      </c>
      <c r="Q1042" s="156" t="s">
        <v>674</v>
      </c>
      <c r="R1042" s="156" t="s">
        <v>674</v>
      </c>
      <c r="S1042" s="59">
        <v>4801</v>
      </c>
      <c r="T1042" s="59">
        <v>4902</v>
      </c>
      <c r="U1042" s="59">
        <v>5125</v>
      </c>
      <c r="V1042" s="59">
        <v>5581</v>
      </c>
      <c r="W1042" s="59">
        <v>6161</v>
      </c>
      <c r="X1042" s="156">
        <v>6378</v>
      </c>
      <c r="Y1042" s="156">
        <v>6521</v>
      </c>
      <c r="Z1042" s="156">
        <v>6794</v>
      </c>
      <c r="AA1042" s="59">
        <v>6308</v>
      </c>
    </row>
    <row r="1043" spans="3:37" x14ac:dyDescent="0.25">
      <c r="D1043" s="9" t="s">
        <v>320</v>
      </c>
      <c r="H1043" t="s">
        <v>1505</v>
      </c>
      <c r="J1043" s="70"/>
      <c r="K1043" s="70"/>
      <c r="L1043" s="70"/>
      <c r="M1043" s="70"/>
      <c r="N1043" s="70"/>
      <c r="P1043" s="156" t="s">
        <v>674</v>
      </c>
      <c r="Q1043" s="156" t="s">
        <v>674</v>
      </c>
      <c r="R1043" s="156" t="s">
        <v>674</v>
      </c>
      <c r="S1043" s="59">
        <v>5380</v>
      </c>
      <c r="T1043" s="59">
        <v>5809</v>
      </c>
      <c r="U1043" s="59">
        <v>6147</v>
      </c>
      <c r="V1043" s="59">
        <v>6477</v>
      </c>
      <c r="W1043" s="59">
        <v>6897</v>
      </c>
      <c r="X1043" s="156">
        <v>7188</v>
      </c>
      <c r="Y1043" s="156">
        <v>7423</v>
      </c>
      <c r="Z1043" s="156">
        <v>7522</v>
      </c>
      <c r="AA1043" s="59">
        <v>7598</v>
      </c>
    </row>
    <row r="1044" spans="3:37" x14ac:dyDescent="0.25">
      <c r="D1044" s="9" t="s">
        <v>321</v>
      </c>
      <c r="H1044" t="s">
        <v>1505</v>
      </c>
      <c r="J1044" s="70"/>
      <c r="K1044" s="70"/>
      <c r="L1044" s="70"/>
      <c r="M1044" s="70"/>
      <c r="N1044" s="70"/>
      <c r="P1044" s="156" t="s">
        <v>674</v>
      </c>
      <c r="Q1044" s="156" t="s">
        <v>674</v>
      </c>
      <c r="R1044" s="59">
        <v>5290</v>
      </c>
      <c r="S1044" s="59">
        <v>5339</v>
      </c>
      <c r="T1044" s="59">
        <v>5401</v>
      </c>
      <c r="U1044" s="59">
        <v>5472</v>
      </c>
      <c r="V1044" s="59">
        <v>6053</v>
      </c>
      <c r="W1044" s="59">
        <v>6375</v>
      </c>
      <c r="X1044" s="156">
        <v>7026</v>
      </c>
      <c r="Y1044" s="157">
        <v>6889</v>
      </c>
      <c r="Z1044" s="156">
        <v>7212</v>
      </c>
      <c r="AA1044" s="59">
        <v>7412</v>
      </c>
    </row>
    <row r="1045" spans="3:37" x14ac:dyDescent="0.25">
      <c r="D1045" s="9" t="s">
        <v>322</v>
      </c>
      <c r="H1045" t="s">
        <v>1505</v>
      </c>
      <c r="J1045" s="70"/>
      <c r="K1045" s="70"/>
      <c r="L1045" s="70"/>
      <c r="M1045" s="70"/>
      <c r="N1045" s="70"/>
      <c r="P1045" s="156" t="s">
        <v>674</v>
      </c>
      <c r="Q1045" s="156" t="s">
        <v>674</v>
      </c>
      <c r="R1045" s="59">
        <v>4823</v>
      </c>
      <c r="S1045" s="59">
        <v>4685</v>
      </c>
      <c r="T1045" s="59">
        <v>4747</v>
      </c>
      <c r="U1045" s="59">
        <v>5061</v>
      </c>
      <c r="V1045" s="59">
        <v>5490</v>
      </c>
      <c r="W1045" s="59">
        <v>5840</v>
      </c>
      <c r="X1045" s="156">
        <v>6082</v>
      </c>
      <c r="Y1045" s="158">
        <v>6516</v>
      </c>
      <c r="Z1045" s="156">
        <v>6567</v>
      </c>
      <c r="AA1045" s="59">
        <v>6976</v>
      </c>
    </row>
    <row r="1046" spans="3:37" x14ac:dyDescent="0.25">
      <c r="D1046" s="9" t="s">
        <v>323</v>
      </c>
      <c r="H1046" t="s">
        <v>1505</v>
      </c>
      <c r="J1046" s="70"/>
      <c r="K1046" s="70"/>
      <c r="L1046" s="70"/>
      <c r="M1046" s="70"/>
      <c r="N1046" s="70"/>
      <c r="P1046" s="156" t="s">
        <v>674</v>
      </c>
      <c r="Q1046" s="156" t="s">
        <v>674</v>
      </c>
      <c r="R1046" s="59">
        <v>3759</v>
      </c>
      <c r="S1046" s="59">
        <v>3714</v>
      </c>
      <c r="T1046" s="59">
        <v>3756</v>
      </c>
      <c r="U1046" s="59">
        <v>4025</v>
      </c>
      <c r="V1046" s="59">
        <v>4477</v>
      </c>
      <c r="W1046" s="59">
        <v>4531</v>
      </c>
      <c r="X1046" s="156">
        <v>5099</v>
      </c>
      <c r="Y1046" s="156">
        <v>5137</v>
      </c>
      <c r="Z1046" s="156">
        <v>5318</v>
      </c>
      <c r="AA1046" s="59">
        <v>5865</v>
      </c>
    </row>
    <row r="1047" spans="3:37" x14ac:dyDescent="0.25">
      <c r="D1047" s="9" t="s">
        <v>324</v>
      </c>
      <c r="H1047" t="s">
        <v>1505</v>
      </c>
      <c r="J1047" s="70"/>
      <c r="K1047" s="70"/>
      <c r="L1047" s="70"/>
      <c r="M1047" s="70"/>
      <c r="N1047" s="70"/>
      <c r="P1047" s="156" t="s">
        <v>674</v>
      </c>
      <c r="Q1047" s="156" t="s">
        <v>674</v>
      </c>
      <c r="R1047" s="59">
        <v>2999</v>
      </c>
      <c r="S1047" s="59">
        <v>3035</v>
      </c>
      <c r="T1047" s="59">
        <v>3004</v>
      </c>
      <c r="U1047" s="59">
        <v>3195</v>
      </c>
      <c r="V1047" s="59">
        <v>3511</v>
      </c>
      <c r="W1047" s="59">
        <v>3860</v>
      </c>
      <c r="X1047" s="156">
        <v>4201</v>
      </c>
      <c r="Y1047" s="156">
        <v>4217</v>
      </c>
      <c r="Z1047" s="156">
        <v>4414</v>
      </c>
      <c r="AA1047" s="59">
        <v>4493</v>
      </c>
    </row>
    <row r="1048" spans="3:37" x14ac:dyDescent="0.25">
      <c r="D1048" s="9" t="s">
        <v>325</v>
      </c>
      <c r="H1048" t="s">
        <v>1505</v>
      </c>
      <c r="J1048" s="70"/>
      <c r="K1048" s="70"/>
      <c r="L1048" s="70"/>
      <c r="M1048" s="70"/>
      <c r="N1048" s="70"/>
      <c r="P1048" s="156" t="s">
        <v>674</v>
      </c>
      <c r="Q1048" s="156" t="s">
        <v>674</v>
      </c>
      <c r="R1048" s="59">
        <v>2858</v>
      </c>
      <c r="S1048" s="59">
        <v>2656</v>
      </c>
      <c r="T1048" s="59">
        <v>2851</v>
      </c>
      <c r="U1048" s="59">
        <v>3250</v>
      </c>
      <c r="V1048" s="59">
        <v>3446</v>
      </c>
      <c r="W1048" s="59">
        <v>3632</v>
      </c>
      <c r="X1048" s="156">
        <v>3927</v>
      </c>
      <c r="Y1048" s="156">
        <v>3916</v>
      </c>
      <c r="Z1048" s="156">
        <v>4140</v>
      </c>
      <c r="AA1048" s="59">
        <v>4409</v>
      </c>
    </row>
    <row r="1049" spans="3:37" x14ac:dyDescent="0.25">
      <c r="C1049" s="15" t="s">
        <v>675</v>
      </c>
      <c r="D1049" s="13"/>
      <c r="H1049" s="13" t="s">
        <v>1505</v>
      </c>
      <c r="J1049" s="70"/>
      <c r="K1049" s="70"/>
      <c r="L1049" s="70"/>
      <c r="M1049" s="70"/>
      <c r="N1049" s="70"/>
      <c r="P1049" s="62">
        <f t="shared" ref="P1049:AK1049" si="176">SUM(P1050:P1061)</f>
        <v>79300.904761904967</v>
      </c>
      <c r="Q1049" s="62">
        <f t="shared" si="176"/>
        <v>82450.880952381063</v>
      </c>
      <c r="R1049" s="62">
        <f t="shared" si="176"/>
        <v>85600.857142857276</v>
      </c>
      <c r="S1049" s="62">
        <f t="shared" si="176"/>
        <v>89495</v>
      </c>
      <c r="T1049" s="62">
        <f t="shared" si="176"/>
        <v>88824</v>
      </c>
      <c r="U1049" s="62">
        <f t="shared" si="176"/>
        <v>95147</v>
      </c>
      <c r="V1049" s="62">
        <f t="shared" si="176"/>
        <v>97839</v>
      </c>
      <c r="W1049" s="62">
        <f t="shared" si="176"/>
        <v>102852</v>
      </c>
      <c r="X1049" s="62">
        <f t="shared" si="176"/>
        <v>108288</v>
      </c>
      <c r="Y1049" s="62">
        <f t="shared" si="176"/>
        <v>109790</v>
      </c>
      <c r="Z1049" s="62">
        <f t="shared" si="176"/>
        <v>105971</v>
      </c>
      <c r="AA1049" s="62">
        <f t="shared" si="176"/>
        <v>97730</v>
      </c>
      <c r="AB1049" s="62">
        <f t="shared" si="176"/>
        <v>0</v>
      </c>
      <c r="AC1049" s="62">
        <f t="shared" si="176"/>
        <v>0</v>
      </c>
      <c r="AD1049" s="62">
        <f t="shared" si="176"/>
        <v>0</v>
      </c>
      <c r="AE1049" s="62">
        <f t="shared" si="176"/>
        <v>0</v>
      </c>
      <c r="AF1049" s="62">
        <f t="shared" si="176"/>
        <v>0</v>
      </c>
      <c r="AG1049" s="62">
        <f t="shared" si="176"/>
        <v>0</v>
      </c>
      <c r="AH1049" s="62">
        <f t="shared" si="176"/>
        <v>0</v>
      </c>
      <c r="AI1049" s="62">
        <f t="shared" si="176"/>
        <v>0</v>
      </c>
      <c r="AJ1049" s="62">
        <f t="shared" si="176"/>
        <v>0</v>
      </c>
      <c r="AK1049" s="62">
        <f t="shared" si="176"/>
        <v>0</v>
      </c>
    </row>
    <row r="1050" spans="3:37" x14ac:dyDescent="0.25">
      <c r="D1050" s="9" t="s">
        <v>314</v>
      </c>
      <c r="H1050" t="s">
        <v>1505</v>
      </c>
      <c r="J1050" s="70"/>
      <c r="K1050" s="70"/>
      <c r="L1050" s="70"/>
      <c r="M1050" s="70"/>
      <c r="N1050" s="70"/>
      <c r="P1050" s="162">
        <f t="shared" ref="P1050:R1061" si="177">_xlfn.FORECAST.LINEAR(P$2,$S1050:$Z1050,$S$2:$Z$2)</f>
        <v>3484.5238095237873</v>
      </c>
      <c r="Q1050" s="162">
        <f t="shared" si="177"/>
        <v>3743.4047619047342</v>
      </c>
      <c r="R1050" s="162">
        <f t="shared" si="177"/>
        <v>4002.285714285681</v>
      </c>
      <c r="S1050" s="59">
        <v>4289</v>
      </c>
      <c r="T1050" s="59">
        <v>4390</v>
      </c>
      <c r="U1050" s="59">
        <v>5010</v>
      </c>
      <c r="V1050" s="59">
        <v>5048</v>
      </c>
      <c r="W1050" s="59">
        <v>5360</v>
      </c>
      <c r="X1050" s="59">
        <v>4953</v>
      </c>
      <c r="Y1050" s="59">
        <v>6219</v>
      </c>
      <c r="Z1050" s="59">
        <v>6069</v>
      </c>
      <c r="AA1050" s="59">
        <v>5913</v>
      </c>
    </row>
    <row r="1051" spans="3:37" x14ac:dyDescent="0.25">
      <c r="D1051" s="9" t="s">
        <v>315</v>
      </c>
      <c r="H1051" t="s">
        <v>1505</v>
      </c>
      <c r="J1051" s="70"/>
      <c r="K1051" s="70"/>
      <c r="L1051" s="70"/>
      <c r="M1051" s="70"/>
      <c r="N1051" s="70"/>
      <c r="P1051" s="162">
        <f t="shared" si="177"/>
        <v>4336.9047619047924</v>
      </c>
      <c r="Q1051" s="162">
        <f t="shared" si="177"/>
        <v>4514.6309523809468</v>
      </c>
      <c r="R1051" s="162">
        <f t="shared" si="177"/>
        <v>4692.3571428571595</v>
      </c>
      <c r="S1051" s="59">
        <v>4487</v>
      </c>
      <c r="T1051" s="59">
        <v>5005</v>
      </c>
      <c r="U1051" s="59">
        <v>5419</v>
      </c>
      <c r="V1051" s="59">
        <v>5825</v>
      </c>
      <c r="W1051" s="59">
        <v>5766</v>
      </c>
      <c r="X1051" s="59">
        <v>5503</v>
      </c>
      <c r="Y1051" s="59">
        <v>6177</v>
      </c>
      <c r="Z1051" s="59">
        <v>5755</v>
      </c>
      <c r="AA1051" s="59">
        <v>6512</v>
      </c>
    </row>
    <row r="1052" spans="3:37" x14ac:dyDescent="0.25">
      <c r="D1052" s="9" t="s">
        <v>316</v>
      </c>
      <c r="H1052" t="s">
        <v>1505</v>
      </c>
      <c r="J1052" s="70"/>
      <c r="K1052" s="70"/>
      <c r="L1052" s="70"/>
      <c r="M1052" s="70"/>
      <c r="N1052" s="70"/>
      <c r="P1052" s="162">
        <f t="shared" si="177"/>
        <v>4112.3928571428987</v>
      </c>
      <c r="Q1052" s="162">
        <f t="shared" si="177"/>
        <v>4358.4285714285797</v>
      </c>
      <c r="R1052" s="162">
        <f t="shared" si="177"/>
        <v>4604.464285714319</v>
      </c>
      <c r="S1052" s="59">
        <v>4809</v>
      </c>
      <c r="T1052" s="59">
        <v>5066</v>
      </c>
      <c r="U1052" s="59">
        <v>5604</v>
      </c>
      <c r="V1052" s="59">
        <v>5706</v>
      </c>
      <c r="W1052" s="59">
        <v>5508</v>
      </c>
      <c r="X1052" s="59">
        <v>5928</v>
      </c>
      <c r="Y1052" s="59">
        <v>6309</v>
      </c>
      <c r="Z1052" s="59">
        <v>6763</v>
      </c>
      <c r="AA1052" s="59">
        <v>5060</v>
      </c>
    </row>
    <row r="1053" spans="3:37" x14ac:dyDescent="0.25">
      <c r="D1053" s="9" t="s">
        <v>317</v>
      </c>
      <c r="H1053" t="s">
        <v>1505</v>
      </c>
      <c r="J1053" s="70"/>
      <c r="K1053" s="70"/>
      <c r="L1053" s="70"/>
      <c r="M1053" s="70"/>
      <c r="N1053" s="70"/>
      <c r="P1053" s="162">
        <f t="shared" si="177"/>
        <v>3830.5476190476329</v>
      </c>
      <c r="Q1053" s="162">
        <f t="shared" si="177"/>
        <v>3985.8095238095266</v>
      </c>
      <c r="R1053" s="162">
        <f t="shared" si="177"/>
        <v>4141.0714285714203</v>
      </c>
      <c r="S1053" s="59">
        <v>4408</v>
      </c>
      <c r="T1053" s="59">
        <v>4245</v>
      </c>
      <c r="U1053" s="59">
        <v>4652</v>
      </c>
      <c r="V1053" s="59">
        <v>4735</v>
      </c>
      <c r="W1053" s="59">
        <v>4956</v>
      </c>
      <c r="X1053" s="59">
        <v>5052</v>
      </c>
      <c r="Y1053" s="59">
        <v>5494</v>
      </c>
      <c r="Z1053" s="59">
        <v>5176</v>
      </c>
      <c r="AA1053" s="59">
        <v>2751</v>
      </c>
    </row>
    <row r="1054" spans="3:37" x14ac:dyDescent="0.25">
      <c r="D1054" s="9" t="s">
        <v>318</v>
      </c>
      <c r="H1054" t="s">
        <v>1505</v>
      </c>
      <c r="J1054" s="70"/>
      <c r="K1054" s="70"/>
      <c r="L1054" s="70"/>
      <c r="M1054" s="70"/>
      <c r="N1054" s="70"/>
      <c r="P1054" s="162">
        <f t="shared" si="177"/>
        <v>5859.6071428571595</v>
      </c>
      <c r="Q1054" s="162">
        <f t="shared" si="177"/>
        <v>6182.5714285714785</v>
      </c>
      <c r="R1054" s="162">
        <f t="shared" si="177"/>
        <v>6505.5357142857974</v>
      </c>
      <c r="S1054" s="59">
        <v>6998</v>
      </c>
      <c r="T1054" s="59">
        <v>6925</v>
      </c>
      <c r="U1054" s="59">
        <v>7284</v>
      </c>
      <c r="V1054" s="59">
        <v>7686</v>
      </c>
      <c r="W1054" s="59">
        <v>8397</v>
      </c>
      <c r="X1054" s="59">
        <v>8461</v>
      </c>
      <c r="Y1054" s="59">
        <v>9471</v>
      </c>
      <c r="Z1054" s="59">
        <v>8449</v>
      </c>
      <c r="AA1054" s="59">
        <v>5246</v>
      </c>
    </row>
    <row r="1055" spans="3:37" x14ac:dyDescent="0.25">
      <c r="D1055" s="9" t="s">
        <v>319</v>
      </c>
      <c r="H1055" t="s">
        <v>1505</v>
      </c>
      <c r="J1055" s="70"/>
      <c r="K1055" s="70"/>
      <c r="L1055" s="70"/>
      <c r="M1055" s="70"/>
      <c r="N1055" s="70"/>
      <c r="P1055" s="162">
        <f t="shared" si="177"/>
        <v>9799.7619047620101</v>
      </c>
      <c r="Q1055" s="162">
        <f t="shared" si="177"/>
        <v>10216.202380952425</v>
      </c>
      <c r="R1055" s="162">
        <f t="shared" si="177"/>
        <v>10632.642857142957</v>
      </c>
      <c r="S1055" s="59">
        <v>11756</v>
      </c>
      <c r="T1055" s="59">
        <v>10580</v>
      </c>
      <c r="U1055" s="59">
        <v>11512</v>
      </c>
      <c r="V1055" s="59">
        <v>11078</v>
      </c>
      <c r="W1055" s="59">
        <v>13839</v>
      </c>
      <c r="X1055" s="59">
        <v>14228</v>
      </c>
      <c r="Y1055" s="59">
        <v>15078</v>
      </c>
      <c r="Z1055" s="59">
        <v>11982</v>
      </c>
      <c r="AA1055" s="59">
        <v>10040</v>
      </c>
    </row>
    <row r="1056" spans="3:37" x14ac:dyDescent="0.25">
      <c r="D1056" s="9" t="s">
        <v>320</v>
      </c>
      <c r="H1056" t="s">
        <v>1505</v>
      </c>
      <c r="J1056" s="70"/>
      <c r="K1056" s="70"/>
      <c r="L1056" s="70"/>
      <c r="M1056" s="70"/>
      <c r="N1056" s="70"/>
      <c r="P1056" s="162">
        <f t="shared" si="177"/>
        <v>14310.761904761894</v>
      </c>
      <c r="Q1056" s="162">
        <f t="shared" si="177"/>
        <v>14388.952380952367</v>
      </c>
      <c r="R1056" s="162">
        <f t="shared" si="177"/>
        <v>14467.142857142841</v>
      </c>
      <c r="S1056" s="59">
        <v>14517</v>
      </c>
      <c r="T1056" s="59">
        <v>14362</v>
      </c>
      <c r="U1056" s="59">
        <v>14450</v>
      </c>
      <c r="V1056" s="59">
        <v>14987</v>
      </c>
      <c r="W1056" s="59">
        <v>15761</v>
      </c>
      <c r="X1056" s="59">
        <v>14676</v>
      </c>
      <c r="Y1056" s="59">
        <v>15024</v>
      </c>
      <c r="Z1056" s="59">
        <v>14775</v>
      </c>
      <c r="AA1056" s="59">
        <v>14504</v>
      </c>
    </row>
    <row r="1057" spans="3:37" x14ac:dyDescent="0.25">
      <c r="D1057" s="9" t="s">
        <v>321</v>
      </c>
      <c r="H1057" t="s">
        <v>1505</v>
      </c>
      <c r="J1057" s="70"/>
      <c r="K1057" s="70"/>
      <c r="L1057" s="70"/>
      <c r="M1057" s="70"/>
      <c r="N1057" s="70"/>
      <c r="P1057" s="162">
        <f t="shared" si="177"/>
        <v>12522.845238095208</v>
      </c>
      <c r="Q1057" s="162">
        <f t="shared" si="177"/>
        <v>12762.619047619053</v>
      </c>
      <c r="R1057" s="162">
        <f t="shared" si="177"/>
        <v>13002.392857142841</v>
      </c>
      <c r="S1057" s="59">
        <v>13727</v>
      </c>
      <c r="T1057" s="59">
        <v>12934</v>
      </c>
      <c r="U1057" s="59">
        <v>13379</v>
      </c>
      <c r="V1057" s="59">
        <v>14160</v>
      </c>
      <c r="W1057" s="59">
        <v>13868</v>
      </c>
      <c r="X1057" s="59">
        <v>15423</v>
      </c>
      <c r="Y1057" s="59">
        <v>14530</v>
      </c>
      <c r="Z1057" s="59">
        <v>14630</v>
      </c>
      <c r="AA1057" s="59">
        <v>14957</v>
      </c>
    </row>
    <row r="1058" spans="3:37" x14ac:dyDescent="0.25">
      <c r="D1058" s="9" t="s">
        <v>322</v>
      </c>
      <c r="H1058" t="s">
        <v>1505</v>
      </c>
      <c r="J1058" s="70"/>
      <c r="K1058" s="70"/>
      <c r="L1058" s="70"/>
      <c r="M1058" s="70"/>
      <c r="N1058" s="70"/>
      <c r="P1058" s="162">
        <f t="shared" si="177"/>
        <v>8433.2023809524253</v>
      </c>
      <c r="Q1058" s="162">
        <f t="shared" si="177"/>
        <v>9022.4404761905316</v>
      </c>
      <c r="R1058" s="162">
        <f t="shared" si="177"/>
        <v>9611.678571428638</v>
      </c>
      <c r="S1058" s="59">
        <v>9759</v>
      </c>
      <c r="T1058" s="59">
        <v>10761</v>
      </c>
      <c r="U1058" s="59">
        <v>11739</v>
      </c>
      <c r="V1058" s="59">
        <v>12156</v>
      </c>
      <c r="W1058" s="59">
        <v>12569</v>
      </c>
      <c r="X1058" s="59">
        <v>13642</v>
      </c>
      <c r="Y1058" s="59">
        <v>13434</v>
      </c>
      <c r="Z1058" s="59">
        <v>14046</v>
      </c>
      <c r="AA1058" s="59">
        <v>13577</v>
      </c>
    </row>
    <row r="1059" spans="3:37" x14ac:dyDescent="0.25">
      <c r="D1059" s="9" t="s">
        <v>323</v>
      </c>
      <c r="H1059" t="s">
        <v>1505</v>
      </c>
      <c r="J1059" s="70"/>
      <c r="K1059" s="70"/>
      <c r="L1059" s="70"/>
      <c r="M1059" s="70"/>
      <c r="N1059" s="70"/>
      <c r="P1059" s="162">
        <f t="shared" si="177"/>
        <v>4973.1428571428405</v>
      </c>
      <c r="Q1059" s="162">
        <f t="shared" si="177"/>
        <v>5304.4285714285215</v>
      </c>
      <c r="R1059" s="162">
        <f t="shared" si="177"/>
        <v>5635.7142857142026</v>
      </c>
      <c r="S1059" s="59">
        <v>6025</v>
      </c>
      <c r="T1059" s="59">
        <v>5714</v>
      </c>
      <c r="U1059" s="59">
        <v>6818</v>
      </c>
      <c r="V1059" s="59">
        <v>7041</v>
      </c>
      <c r="W1059" s="59">
        <v>7280</v>
      </c>
      <c r="X1059" s="59">
        <v>8748</v>
      </c>
      <c r="Y1059" s="59">
        <v>7579</v>
      </c>
      <c r="Z1059" s="59">
        <v>7807</v>
      </c>
      <c r="AA1059" s="59">
        <v>8989</v>
      </c>
    </row>
    <row r="1060" spans="3:37" x14ac:dyDescent="0.25">
      <c r="D1060" s="9" t="s">
        <v>324</v>
      </c>
      <c r="H1060" t="s">
        <v>1505</v>
      </c>
      <c r="J1060" s="70"/>
      <c r="K1060" s="70"/>
      <c r="L1060" s="70"/>
      <c r="M1060" s="70"/>
      <c r="N1060" s="70"/>
      <c r="P1060" s="162">
        <f t="shared" si="177"/>
        <v>3643.2976190476329</v>
      </c>
      <c r="Q1060" s="162">
        <f t="shared" si="177"/>
        <v>3783.0595238095266</v>
      </c>
      <c r="R1060" s="162">
        <f t="shared" si="177"/>
        <v>3922.8214285714203</v>
      </c>
      <c r="S1060" s="59">
        <v>4160</v>
      </c>
      <c r="T1060" s="59">
        <v>4135</v>
      </c>
      <c r="U1060" s="59">
        <v>4328</v>
      </c>
      <c r="V1060" s="59">
        <v>4130</v>
      </c>
      <c r="W1060" s="59">
        <v>4592</v>
      </c>
      <c r="X1060" s="59">
        <v>5364</v>
      </c>
      <c r="Y1060" s="59">
        <v>4985</v>
      </c>
      <c r="Z1060" s="59">
        <v>4720</v>
      </c>
      <c r="AA1060" s="59">
        <v>4451</v>
      </c>
    </row>
    <row r="1061" spans="3:37" x14ac:dyDescent="0.25">
      <c r="D1061" s="9" t="s">
        <v>325</v>
      </c>
      <c r="H1061" t="s">
        <v>1505</v>
      </c>
      <c r="J1061" s="70"/>
      <c r="K1061" s="70"/>
      <c r="L1061" s="70"/>
      <c r="M1061" s="70"/>
      <c r="N1061" s="70"/>
      <c r="P1061" s="162">
        <f t="shared" si="177"/>
        <v>3993.9166666666861</v>
      </c>
      <c r="Q1061" s="162">
        <f t="shared" si="177"/>
        <v>4188.3333333333721</v>
      </c>
      <c r="R1061" s="162">
        <f t="shared" si="177"/>
        <v>4382.75</v>
      </c>
      <c r="S1061" s="59">
        <v>4560</v>
      </c>
      <c r="T1061" s="59">
        <v>4707</v>
      </c>
      <c r="U1061" s="59">
        <v>4952</v>
      </c>
      <c r="V1061" s="59">
        <v>5287</v>
      </c>
      <c r="W1061" s="59">
        <v>4956</v>
      </c>
      <c r="X1061" s="59">
        <v>6310</v>
      </c>
      <c r="Y1061" s="59">
        <v>5490</v>
      </c>
      <c r="Z1061" s="59">
        <v>5799</v>
      </c>
      <c r="AA1061" s="59">
        <v>5730</v>
      </c>
    </row>
    <row r="1062" spans="3:37" x14ac:dyDescent="0.25">
      <c r="C1062" s="15" t="s">
        <v>677</v>
      </c>
      <c r="D1062" s="13"/>
      <c r="H1062" s="13" t="s">
        <v>1505</v>
      </c>
      <c r="J1062" s="70"/>
      <c r="K1062" s="70"/>
      <c r="L1062" s="70"/>
      <c r="M1062" s="70"/>
      <c r="N1062" s="70"/>
      <c r="P1062" s="62">
        <f t="shared" ref="P1062:AK1062" si="178">SUM(P1063:P1074)</f>
        <v>198620</v>
      </c>
      <c r="Q1062" s="62">
        <f t="shared" si="178"/>
        <v>193305</v>
      </c>
      <c r="R1062" s="62">
        <f t="shared" si="178"/>
        <v>188854</v>
      </c>
      <c r="S1062" s="62">
        <f t="shared" si="178"/>
        <v>193134</v>
      </c>
      <c r="T1062" s="62">
        <f t="shared" si="178"/>
        <v>200752</v>
      </c>
      <c r="U1062" s="62">
        <f t="shared" si="178"/>
        <v>204354</v>
      </c>
      <c r="V1062" s="62">
        <f t="shared" si="178"/>
        <v>217644</v>
      </c>
      <c r="W1062" s="62">
        <f t="shared" si="178"/>
        <v>226469</v>
      </c>
      <c r="X1062" s="62">
        <f t="shared" si="178"/>
        <v>218371</v>
      </c>
      <c r="Y1062" s="62">
        <f t="shared" si="178"/>
        <v>225358</v>
      </c>
      <c r="Z1062" s="62">
        <f t="shared" si="178"/>
        <v>229217</v>
      </c>
      <c r="AA1062" s="62">
        <f t="shared" si="178"/>
        <v>215969</v>
      </c>
      <c r="AB1062" s="62">
        <f t="shared" si="178"/>
        <v>0</v>
      </c>
      <c r="AC1062" s="62">
        <f t="shared" si="178"/>
        <v>0</v>
      </c>
      <c r="AD1062" s="62">
        <f t="shared" si="178"/>
        <v>0</v>
      </c>
      <c r="AE1062" s="62">
        <f t="shared" si="178"/>
        <v>0</v>
      </c>
      <c r="AF1062" s="62">
        <f t="shared" si="178"/>
        <v>0</v>
      </c>
      <c r="AG1062" s="62">
        <f t="shared" si="178"/>
        <v>0</v>
      </c>
      <c r="AH1062" s="62">
        <f t="shared" si="178"/>
        <v>0</v>
      </c>
      <c r="AI1062" s="62">
        <f t="shared" si="178"/>
        <v>0</v>
      </c>
      <c r="AJ1062" s="62">
        <f t="shared" si="178"/>
        <v>0</v>
      </c>
      <c r="AK1062" s="62">
        <f t="shared" si="178"/>
        <v>0</v>
      </c>
    </row>
    <row r="1063" spans="3:37" x14ac:dyDescent="0.25">
      <c r="D1063" s="9" t="s">
        <v>314</v>
      </c>
      <c r="H1063" t="s">
        <v>1505</v>
      </c>
      <c r="J1063" s="70"/>
      <c r="K1063" s="70"/>
      <c r="L1063" s="70"/>
      <c r="M1063" s="70"/>
      <c r="N1063" s="70"/>
      <c r="P1063" s="59">
        <v>15226</v>
      </c>
      <c r="Q1063" s="59">
        <v>14836</v>
      </c>
      <c r="R1063" s="59">
        <v>14433</v>
      </c>
      <c r="S1063" s="59">
        <v>13809</v>
      </c>
      <c r="T1063" s="59">
        <v>14583</v>
      </c>
      <c r="U1063" s="59">
        <v>15460</v>
      </c>
      <c r="V1063" s="59">
        <v>16160</v>
      </c>
      <c r="W1063" s="59">
        <v>17086</v>
      </c>
      <c r="X1063" s="59">
        <v>17044</v>
      </c>
      <c r="Y1063" s="59">
        <v>17873</v>
      </c>
      <c r="Z1063" s="59">
        <v>18062</v>
      </c>
      <c r="AA1063" s="59">
        <v>17773</v>
      </c>
    </row>
    <row r="1064" spans="3:37" x14ac:dyDescent="0.25">
      <c r="D1064" s="9" t="s">
        <v>315</v>
      </c>
      <c r="H1064" t="s">
        <v>1505</v>
      </c>
      <c r="J1064" s="70"/>
      <c r="K1064" s="70"/>
      <c r="L1064" s="70"/>
      <c r="M1064" s="70"/>
      <c r="N1064" s="70"/>
      <c r="P1064" s="59">
        <v>15866</v>
      </c>
      <c r="Q1064" s="59">
        <v>15285</v>
      </c>
      <c r="R1064" s="59">
        <v>14581</v>
      </c>
      <c r="S1064" s="59">
        <v>14554</v>
      </c>
      <c r="T1064" s="59">
        <v>15630</v>
      </c>
      <c r="U1064" s="59">
        <v>16303</v>
      </c>
      <c r="V1064" s="59">
        <v>17441</v>
      </c>
      <c r="W1064" s="59">
        <v>17750</v>
      </c>
      <c r="X1064" s="59">
        <v>16428</v>
      </c>
      <c r="Y1064" s="59">
        <v>18340</v>
      </c>
      <c r="Z1064" s="59">
        <v>17263</v>
      </c>
      <c r="AA1064" s="59">
        <v>19048</v>
      </c>
    </row>
    <row r="1065" spans="3:37" x14ac:dyDescent="0.25">
      <c r="D1065" s="9" t="s">
        <v>316</v>
      </c>
      <c r="H1065" t="s">
        <v>1505</v>
      </c>
      <c r="J1065" s="70"/>
      <c r="K1065" s="70"/>
      <c r="L1065" s="70"/>
      <c r="M1065" s="70"/>
      <c r="N1065" s="70"/>
      <c r="P1065" s="59">
        <v>15440</v>
      </c>
      <c r="Q1065" s="59">
        <v>15095</v>
      </c>
      <c r="R1065" s="59">
        <v>14279</v>
      </c>
      <c r="S1065" s="59">
        <v>14301</v>
      </c>
      <c r="T1065" s="59">
        <v>15149</v>
      </c>
      <c r="U1065" s="59">
        <v>14076</v>
      </c>
      <c r="V1065" s="59">
        <v>17322</v>
      </c>
      <c r="W1065" s="59">
        <v>17379</v>
      </c>
      <c r="X1065" s="59">
        <v>17134</v>
      </c>
      <c r="Y1065" s="59">
        <v>17720</v>
      </c>
      <c r="Z1065" s="59">
        <v>18680</v>
      </c>
      <c r="AA1065" s="59">
        <v>14792</v>
      </c>
    </row>
    <row r="1066" spans="3:37" x14ac:dyDescent="0.25">
      <c r="D1066" s="9" t="s">
        <v>317</v>
      </c>
      <c r="H1066" t="s">
        <v>1505</v>
      </c>
      <c r="J1066" s="70"/>
      <c r="K1066" s="70"/>
      <c r="L1066" s="70"/>
      <c r="M1066" s="70"/>
      <c r="N1066" s="70"/>
      <c r="P1066" s="59">
        <v>12343</v>
      </c>
      <c r="Q1066" s="59">
        <v>11736</v>
      </c>
      <c r="R1066" s="59">
        <v>10832</v>
      </c>
      <c r="S1066" s="59">
        <v>12147</v>
      </c>
      <c r="T1066" s="59">
        <v>12582</v>
      </c>
      <c r="U1066" s="59">
        <v>12245</v>
      </c>
      <c r="V1066" s="59">
        <v>13644</v>
      </c>
      <c r="W1066" s="59">
        <v>14344</v>
      </c>
      <c r="X1066" s="59">
        <v>14159</v>
      </c>
      <c r="Y1066" s="59">
        <v>14550</v>
      </c>
      <c r="Z1066" s="59">
        <v>14450</v>
      </c>
      <c r="AA1066" s="59">
        <v>10105</v>
      </c>
    </row>
    <row r="1067" spans="3:37" x14ac:dyDescent="0.25">
      <c r="D1067" s="9" t="s">
        <v>318</v>
      </c>
      <c r="H1067" t="s">
        <v>1505</v>
      </c>
      <c r="J1067" s="70"/>
      <c r="K1067" s="70"/>
      <c r="L1067" s="70"/>
      <c r="M1067" s="70"/>
      <c r="N1067" s="70"/>
      <c r="P1067" s="59">
        <v>15490</v>
      </c>
      <c r="Q1067" s="59">
        <v>14448</v>
      </c>
      <c r="R1067" s="59">
        <v>14489</v>
      </c>
      <c r="S1067" s="59">
        <v>14513</v>
      </c>
      <c r="T1067" s="59">
        <v>15129</v>
      </c>
      <c r="U1067" s="59">
        <v>15647</v>
      </c>
      <c r="V1067" s="59">
        <v>16673</v>
      </c>
      <c r="W1067" s="59">
        <v>17620</v>
      </c>
      <c r="X1067" s="59">
        <v>17502</v>
      </c>
      <c r="Y1067" s="59">
        <v>17230</v>
      </c>
      <c r="Z1067" s="59">
        <v>17796</v>
      </c>
      <c r="AA1067" s="59">
        <v>14115</v>
      </c>
    </row>
    <row r="1068" spans="3:37" x14ac:dyDescent="0.25">
      <c r="D1068" s="9" t="s">
        <v>319</v>
      </c>
      <c r="H1068" t="s">
        <v>1505</v>
      </c>
      <c r="J1068" s="70"/>
      <c r="K1068" s="70"/>
      <c r="L1068" s="70"/>
      <c r="M1068" s="70"/>
      <c r="N1068" s="70"/>
      <c r="P1068" s="59">
        <v>19342</v>
      </c>
      <c r="Q1068" s="59">
        <v>18932</v>
      </c>
      <c r="R1068" s="59">
        <v>18392</v>
      </c>
      <c r="S1068" s="59">
        <v>19161</v>
      </c>
      <c r="T1068" s="59">
        <v>19499</v>
      </c>
      <c r="U1068" s="59">
        <v>20148</v>
      </c>
      <c r="V1068" s="59">
        <v>21292</v>
      </c>
      <c r="W1068" s="59">
        <v>22957</v>
      </c>
      <c r="X1068" s="59">
        <v>22316</v>
      </c>
      <c r="Y1068" s="59">
        <v>22336</v>
      </c>
      <c r="Z1068" s="59">
        <v>23050</v>
      </c>
      <c r="AA1068" s="59">
        <v>19655</v>
      </c>
    </row>
    <row r="1069" spans="3:37" x14ac:dyDescent="0.25">
      <c r="D1069" s="9" t="s">
        <v>320</v>
      </c>
      <c r="H1069" t="s">
        <v>1505</v>
      </c>
      <c r="J1069" s="70"/>
      <c r="K1069" s="70"/>
      <c r="L1069" s="70"/>
      <c r="M1069" s="70"/>
      <c r="N1069" s="70"/>
      <c r="P1069" s="59">
        <v>21880</v>
      </c>
      <c r="Q1069" s="59">
        <v>21993</v>
      </c>
      <c r="R1069" s="59">
        <v>21455</v>
      </c>
      <c r="S1069" s="59">
        <v>22103</v>
      </c>
      <c r="T1069" s="59">
        <v>22829</v>
      </c>
      <c r="U1069" s="59">
        <v>23274</v>
      </c>
      <c r="V1069" s="59">
        <v>23894</v>
      </c>
      <c r="W1069" s="59">
        <v>24703</v>
      </c>
      <c r="X1069" s="59">
        <v>24155</v>
      </c>
      <c r="Y1069" s="59">
        <v>24444</v>
      </c>
      <c r="Z1069" s="59">
        <v>24439</v>
      </c>
      <c r="AA1069" s="59">
        <v>23766</v>
      </c>
    </row>
    <row r="1070" spans="3:37" x14ac:dyDescent="0.25">
      <c r="D1070" s="9" t="s">
        <v>321</v>
      </c>
      <c r="H1070" t="s">
        <v>1505</v>
      </c>
      <c r="J1070" s="70"/>
      <c r="K1070" s="70"/>
      <c r="L1070" s="70"/>
      <c r="M1070" s="70"/>
      <c r="N1070" s="70"/>
      <c r="P1070" s="59">
        <v>21725</v>
      </c>
      <c r="Q1070" s="59">
        <v>21405</v>
      </c>
      <c r="R1070" s="59">
        <v>20925</v>
      </c>
      <c r="S1070" s="59">
        <v>21768</v>
      </c>
      <c r="T1070" s="59">
        <v>22171</v>
      </c>
      <c r="U1070" s="59">
        <v>21913</v>
      </c>
      <c r="V1070" s="59">
        <v>23044</v>
      </c>
      <c r="W1070" s="59">
        <v>24023</v>
      </c>
      <c r="X1070" s="59">
        <v>21822</v>
      </c>
      <c r="Y1070" s="59">
        <v>23218</v>
      </c>
      <c r="Z1070" s="59">
        <v>24020</v>
      </c>
      <c r="AA1070" s="59">
        <v>23343</v>
      </c>
    </row>
    <row r="1071" spans="3:37" x14ac:dyDescent="0.25">
      <c r="D1071" s="9" t="s">
        <v>322</v>
      </c>
      <c r="H1071" t="s">
        <v>1505</v>
      </c>
      <c r="J1071" s="70"/>
      <c r="K1071" s="70"/>
      <c r="L1071" s="70"/>
      <c r="M1071" s="70"/>
      <c r="N1071" s="70"/>
      <c r="P1071" s="59">
        <v>18564</v>
      </c>
      <c r="Q1071" s="59">
        <v>18551</v>
      </c>
      <c r="R1071" s="59">
        <v>18239</v>
      </c>
      <c r="S1071" s="59">
        <v>19015</v>
      </c>
      <c r="T1071" s="59">
        <v>19191</v>
      </c>
      <c r="U1071" s="59">
        <v>20182</v>
      </c>
      <c r="V1071" s="59">
        <v>20579</v>
      </c>
      <c r="W1071" s="59">
        <v>21665</v>
      </c>
      <c r="X1071" s="59">
        <v>18777</v>
      </c>
      <c r="Y1071" s="59">
        <v>20982</v>
      </c>
      <c r="Z1071" s="59">
        <v>22004</v>
      </c>
      <c r="AA1071" s="59">
        <v>22107</v>
      </c>
    </row>
    <row r="1072" spans="3:37" x14ac:dyDescent="0.25">
      <c r="D1072" s="9" t="s">
        <v>323</v>
      </c>
      <c r="H1072" t="s">
        <v>1505</v>
      </c>
      <c r="J1072" s="70"/>
      <c r="K1072" s="70"/>
      <c r="L1072" s="70"/>
      <c r="M1072" s="70"/>
      <c r="N1072" s="70"/>
      <c r="P1072" s="59">
        <v>14877</v>
      </c>
      <c r="Q1072" s="59">
        <v>14310</v>
      </c>
      <c r="R1072" s="59">
        <v>14652</v>
      </c>
      <c r="S1072" s="59">
        <v>14775</v>
      </c>
      <c r="T1072" s="59">
        <v>15585</v>
      </c>
      <c r="U1072" s="59">
        <v>16203</v>
      </c>
      <c r="V1072" s="59">
        <v>16902</v>
      </c>
      <c r="W1072" s="59">
        <v>17230</v>
      </c>
      <c r="X1072" s="59">
        <v>17295</v>
      </c>
      <c r="Y1072" s="59">
        <v>17305</v>
      </c>
      <c r="Z1072" s="59">
        <v>17582</v>
      </c>
      <c r="AA1072" s="59">
        <v>18869</v>
      </c>
    </row>
    <row r="1073" spans="2:37" x14ac:dyDescent="0.25">
      <c r="D1073" s="9" t="s">
        <v>324</v>
      </c>
      <c r="H1073" t="s">
        <v>1505</v>
      </c>
      <c r="J1073" s="70"/>
      <c r="K1073" s="70"/>
      <c r="L1073" s="70"/>
      <c r="M1073" s="70"/>
      <c r="N1073" s="70"/>
      <c r="P1073" s="59">
        <v>12555</v>
      </c>
      <c r="Q1073" s="59">
        <v>11632</v>
      </c>
      <c r="R1073" s="59">
        <v>11837</v>
      </c>
      <c r="S1073" s="59">
        <v>12614</v>
      </c>
      <c r="T1073" s="59">
        <v>12921</v>
      </c>
      <c r="U1073" s="59">
        <v>12904</v>
      </c>
      <c r="V1073" s="59">
        <v>13816</v>
      </c>
      <c r="W1073" s="59">
        <v>14370</v>
      </c>
      <c r="X1073" s="59">
        <v>14308</v>
      </c>
      <c r="Y1073" s="59">
        <v>14370</v>
      </c>
      <c r="Z1073" s="59">
        <v>14498</v>
      </c>
      <c r="AA1073" s="59">
        <v>14101</v>
      </c>
    </row>
    <row r="1074" spans="2:37" x14ac:dyDescent="0.25">
      <c r="D1074" s="9" t="s">
        <v>325</v>
      </c>
      <c r="H1074" t="s">
        <v>1505</v>
      </c>
      <c r="J1074" s="70"/>
      <c r="K1074" s="70"/>
      <c r="L1074" s="70"/>
      <c r="M1074" s="70"/>
      <c r="N1074" s="70"/>
      <c r="P1074" s="59">
        <v>15312</v>
      </c>
      <c r="Q1074" s="59">
        <v>15082</v>
      </c>
      <c r="R1074" s="59">
        <v>14740</v>
      </c>
      <c r="S1074" s="59">
        <v>14374</v>
      </c>
      <c r="T1074" s="59">
        <v>15483</v>
      </c>
      <c r="U1074" s="59">
        <v>15999</v>
      </c>
      <c r="V1074" s="59">
        <v>16877</v>
      </c>
      <c r="W1074" s="59">
        <v>17342</v>
      </c>
      <c r="X1074" s="59">
        <v>17431</v>
      </c>
      <c r="Y1074" s="59">
        <v>16990</v>
      </c>
      <c r="Z1074" s="59">
        <v>17373</v>
      </c>
      <c r="AA1074" s="59">
        <v>18295</v>
      </c>
    </row>
    <row r="1075" spans="2:37" x14ac:dyDescent="0.25">
      <c r="C1075" s="15" t="s">
        <v>678</v>
      </c>
      <c r="D1075" s="13"/>
      <c r="H1075" s="13" t="s">
        <v>1505</v>
      </c>
      <c r="J1075" s="70"/>
      <c r="K1075" s="70"/>
      <c r="L1075" s="70"/>
      <c r="M1075" s="70"/>
      <c r="N1075" s="70"/>
      <c r="P1075" s="62">
        <f t="shared" ref="P1075:AK1075" si="179">SUM(P1076:P1087)</f>
        <v>127513.86666666658</v>
      </c>
      <c r="Q1075" s="62">
        <f t="shared" si="179"/>
        <v>130165</v>
      </c>
      <c r="R1075" s="62">
        <f t="shared" si="179"/>
        <v>128423</v>
      </c>
      <c r="S1075" s="62">
        <f t="shared" si="179"/>
        <v>131099</v>
      </c>
      <c r="T1075" s="62">
        <f t="shared" si="179"/>
        <v>134528</v>
      </c>
      <c r="U1075" s="62">
        <f t="shared" si="179"/>
        <v>139803</v>
      </c>
      <c r="V1075" s="62">
        <f t="shared" si="179"/>
        <v>146293</v>
      </c>
      <c r="W1075" s="62">
        <f t="shared" si="179"/>
        <v>148441</v>
      </c>
      <c r="X1075" s="62">
        <f t="shared" si="179"/>
        <v>143284</v>
      </c>
      <c r="Y1075" s="62">
        <f t="shared" si="179"/>
        <v>151434</v>
      </c>
      <c r="Z1075" s="62">
        <f t="shared" si="179"/>
        <v>147964</v>
      </c>
      <c r="AA1075" s="62">
        <f t="shared" si="179"/>
        <v>138949</v>
      </c>
      <c r="AB1075" s="62">
        <f t="shared" si="179"/>
        <v>0</v>
      </c>
      <c r="AC1075" s="62">
        <f t="shared" si="179"/>
        <v>0</v>
      </c>
      <c r="AD1075" s="62">
        <f t="shared" si="179"/>
        <v>0</v>
      </c>
      <c r="AE1075" s="62">
        <f t="shared" si="179"/>
        <v>0</v>
      </c>
      <c r="AF1075" s="62">
        <f t="shared" si="179"/>
        <v>0</v>
      </c>
      <c r="AG1075" s="62">
        <f t="shared" si="179"/>
        <v>0</v>
      </c>
      <c r="AH1075" s="62">
        <f t="shared" si="179"/>
        <v>0</v>
      </c>
      <c r="AI1075" s="62">
        <f t="shared" si="179"/>
        <v>0</v>
      </c>
      <c r="AJ1075" s="62">
        <f t="shared" si="179"/>
        <v>0</v>
      </c>
      <c r="AK1075" s="62">
        <f t="shared" si="179"/>
        <v>0</v>
      </c>
    </row>
    <row r="1076" spans="2:37" x14ac:dyDescent="0.25">
      <c r="D1076" s="9" t="s">
        <v>314</v>
      </c>
      <c r="H1076" t="s">
        <v>1505</v>
      </c>
      <c r="J1076" s="70"/>
      <c r="K1076" s="70"/>
      <c r="L1076" s="70"/>
      <c r="M1076" s="70"/>
      <c r="N1076" s="70"/>
      <c r="P1076" s="162">
        <f t="shared" ref="P1076:P1082" si="180">_xlfn.FORECAST.LINEAR(P$2,$Q1076:$Z1076,$Q$2:$Z$2)</f>
        <v>9789.7999999999884</v>
      </c>
      <c r="Q1076" s="156">
        <v>10426</v>
      </c>
      <c r="R1076" s="156">
        <v>10554</v>
      </c>
      <c r="S1076" s="156">
        <v>9901</v>
      </c>
      <c r="T1076" s="156">
        <v>10308</v>
      </c>
      <c r="U1076" s="156">
        <v>10919</v>
      </c>
      <c r="V1076" s="156">
        <v>11375</v>
      </c>
      <c r="W1076" s="156">
        <v>11982</v>
      </c>
      <c r="X1076" s="156">
        <v>10267</v>
      </c>
      <c r="Y1076" s="156">
        <v>12684</v>
      </c>
      <c r="Z1076" s="59">
        <v>12195</v>
      </c>
      <c r="AA1076" s="59">
        <v>11996</v>
      </c>
    </row>
    <row r="1077" spans="2:37" x14ac:dyDescent="0.25">
      <c r="D1077" s="9" t="s">
        <v>315</v>
      </c>
      <c r="H1077" t="s">
        <v>1505</v>
      </c>
      <c r="J1077" s="70"/>
      <c r="K1077" s="70"/>
      <c r="L1077" s="70"/>
      <c r="M1077" s="70"/>
      <c r="N1077" s="70"/>
      <c r="P1077" s="162">
        <f t="shared" si="180"/>
        <v>10365.399999999965</v>
      </c>
      <c r="Q1077" s="156">
        <v>10696</v>
      </c>
      <c r="R1077" s="156">
        <v>10607</v>
      </c>
      <c r="S1077" s="156">
        <v>10485</v>
      </c>
      <c r="T1077" s="156">
        <v>10988</v>
      </c>
      <c r="U1077" s="156">
        <v>11712</v>
      </c>
      <c r="V1077" s="156">
        <v>12195</v>
      </c>
      <c r="W1077" s="156">
        <v>12489</v>
      </c>
      <c r="X1077" s="156">
        <v>10434</v>
      </c>
      <c r="Y1077" s="156">
        <v>12986</v>
      </c>
      <c r="Z1077" s="156">
        <v>11949</v>
      </c>
      <c r="AA1077" s="59">
        <v>12548</v>
      </c>
    </row>
    <row r="1078" spans="2:37" x14ac:dyDescent="0.25">
      <c r="D1078" s="9" t="s">
        <v>316</v>
      </c>
      <c r="H1078" t="s">
        <v>1505</v>
      </c>
      <c r="J1078" s="70"/>
      <c r="K1078" s="70"/>
      <c r="L1078" s="70"/>
      <c r="M1078" s="70"/>
      <c r="N1078" s="70"/>
      <c r="P1078" s="162">
        <f t="shared" si="180"/>
        <v>9878.2000000000116</v>
      </c>
      <c r="Q1078" s="156">
        <v>10391</v>
      </c>
      <c r="R1078" s="156">
        <v>10297</v>
      </c>
      <c r="S1078" s="156">
        <v>9997</v>
      </c>
      <c r="T1078" s="156">
        <v>10539</v>
      </c>
      <c r="U1078" s="156">
        <v>11163</v>
      </c>
      <c r="V1078" s="156">
        <v>11724</v>
      </c>
      <c r="W1078" s="156">
        <v>12320</v>
      </c>
      <c r="X1078" s="156">
        <v>9280</v>
      </c>
      <c r="Y1078" s="156">
        <v>12370</v>
      </c>
      <c r="Z1078" s="156">
        <v>12431</v>
      </c>
      <c r="AA1078" s="59">
        <v>9389</v>
      </c>
    </row>
    <row r="1079" spans="2:37" x14ac:dyDescent="0.25">
      <c r="D1079" s="9" t="s">
        <v>317</v>
      </c>
      <c r="H1079" t="s">
        <v>1505</v>
      </c>
      <c r="J1079" s="70"/>
      <c r="K1079" s="70"/>
      <c r="L1079" s="70"/>
      <c r="M1079" s="70"/>
      <c r="N1079" s="70"/>
      <c r="P1079" s="162">
        <f t="shared" si="180"/>
        <v>6577.3999999999651</v>
      </c>
      <c r="Q1079" s="156">
        <v>6952</v>
      </c>
      <c r="R1079" s="156">
        <v>6503</v>
      </c>
      <c r="S1079" s="156">
        <v>7429</v>
      </c>
      <c r="T1079" s="156">
        <v>7617</v>
      </c>
      <c r="U1079" s="156">
        <v>8032</v>
      </c>
      <c r="V1079" s="156">
        <v>8171</v>
      </c>
      <c r="W1079" s="156">
        <v>8720</v>
      </c>
      <c r="X1079" s="156">
        <v>8495</v>
      </c>
      <c r="Y1079" s="156">
        <v>9179</v>
      </c>
      <c r="Z1079" s="156">
        <v>8505</v>
      </c>
      <c r="AA1079" s="59">
        <v>5727</v>
      </c>
    </row>
    <row r="1080" spans="2:37" x14ac:dyDescent="0.25">
      <c r="D1080" s="9" t="s">
        <v>318</v>
      </c>
      <c r="H1080" t="s">
        <v>1505</v>
      </c>
      <c r="J1080" s="70"/>
      <c r="K1080" s="70"/>
      <c r="L1080" s="70"/>
      <c r="M1080" s="70"/>
      <c r="N1080" s="70"/>
      <c r="P1080" s="162">
        <f t="shared" si="180"/>
        <v>8499.8666666665813</v>
      </c>
      <c r="Q1080" s="156">
        <v>8992</v>
      </c>
      <c r="R1080" s="156">
        <v>8752</v>
      </c>
      <c r="S1080" s="156">
        <v>9096</v>
      </c>
      <c r="T1080" s="156">
        <v>9550</v>
      </c>
      <c r="U1080" s="156">
        <v>9691</v>
      </c>
      <c r="V1080" s="156">
        <v>10651</v>
      </c>
      <c r="W1080" s="156">
        <v>11274</v>
      </c>
      <c r="X1080" s="156">
        <v>10773</v>
      </c>
      <c r="Y1080" s="156">
        <v>10928</v>
      </c>
      <c r="Z1080" s="156">
        <v>10884</v>
      </c>
      <c r="AA1080" s="59">
        <v>8368</v>
      </c>
    </row>
    <row r="1081" spans="2:37" x14ac:dyDescent="0.25">
      <c r="D1081" s="9" t="s">
        <v>319</v>
      </c>
      <c r="H1081" t="s">
        <v>1505</v>
      </c>
      <c r="J1081" s="70"/>
      <c r="K1081" s="70"/>
      <c r="L1081" s="70"/>
      <c r="M1081" s="70"/>
      <c r="N1081" s="70"/>
      <c r="P1081" s="162">
        <f t="shared" si="180"/>
        <v>12129.133333333419</v>
      </c>
      <c r="Q1081" s="156">
        <v>12796</v>
      </c>
      <c r="R1081" s="156">
        <v>12491</v>
      </c>
      <c r="S1081" s="156">
        <v>12924</v>
      </c>
      <c r="T1081" s="156">
        <v>13263</v>
      </c>
      <c r="U1081" s="156">
        <v>13206</v>
      </c>
      <c r="V1081" s="156">
        <v>14507</v>
      </c>
      <c r="W1081" s="156">
        <v>15014</v>
      </c>
      <c r="X1081" s="156">
        <v>14777</v>
      </c>
      <c r="Y1081" s="156">
        <v>15064</v>
      </c>
      <c r="Z1081" s="156">
        <v>14931</v>
      </c>
      <c r="AA1081" s="59">
        <v>12458</v>
      </c>
    </row>
    <row r="1082" spans="2:37" x14ac:dyDescent="0.25">
      <c r="D1082" s="9" t="s">
        <v>320</v>
      </c>
      <c r="H1082" t="s">
        <v>1505</v>
      </c>
      <c r="J1082" s="70"/>
      <c r="K1082" s="70"/>
      <c r="L1082" s="70"/>
      <c r="M1082" s="70"/>
      <c r="N1082" s="70"/>
      <c r="P1082" s="162">
        <f t="shared" si="180"/>
        <v>14999.066666666651</v>
      </c>
      <c r="Q1082" s="156">
        <v>15165</v>
      </c>
      <c r="R1082" s="156">
        <v>14926</v>
      </c>
      <c r="S1082" s="156">
        <v>15383</v>
      </c>
      <c r="T1082" s="156">
        <v>15652</v>
      </c>
      <c r="U1082" s="156">
        <v>16076</v>
      </c>
      <c r="V1082" s="156">
        <v>16514</v>
      </c>
      <c r="W1082" s="156">
        <v>16161</v>
      </c>
      <c r="X1082" s="156">
        <v>16361</v>
      </c>
      <c r="Y1082" s="156">
        <v>16667</v>
      </c>
      <c r="Z1082" s="156">
        <v>16031</v>
      </c>
      <c r="AA1082" s="59">
        <v>15629</v>
      </c>
    </row>
    <row r="1083" spans="2:37" x14ac:dyDescent="0.25">
      <c r="D1083" s="9" t="s">
        <v>321</v>
      </c>
      <c r="H1083" t="s">
        <v>1505</v>
      </c>
      <c r="J1083" s="70"/>
      <c r="K1083" s="70"/>
      <c r="L1083" s="70"/>
      <c r="M1083" s="70"/>
      <c r="N1083" s="70"/>
      <c r="P1083" s="156">
        <v>14016</v>
      </c>
      <c r="Q1083" s="156">
        <v>14719</v>
      </c>
      <c r="R1083" s="156">
        <v>14643</v>
      </c>
      <c r="S1083" s="156">
        <v>15119</v>
      </c>
      <c r="T1083" s="156">
        <v>15005</v>
      </c>
      <c r="U1083" s="156">
        <v>15270</v>
      </c>
      <c r="V1083" s="156">
        <v>15983</v>
      </c>
      <c r="W1083" s="156">
        <v>15579</v>
      </c>
      <c r="X1083" s="163">
        <f>AVERAGE(W1083,Y1083)</f>
        <v>16337</v>
      </c>
      <c r="Y1083" s="157">
        <v>17095</v>
      </c>
      <c r="Z1083" s="156">
        <v>15686</v>
      </c>
      <c r="AA1083" s="59">
        <v>15198</v>
      </c>
    </row>
    <row r="1084" spans="2:37" x14ac:dyDescent="0.25">
      <c r="D1084" s="9" t="s">
        <v>322</v>
      </c>
      <c r="H1084" t="s">
        <v>1505</v>
      </c>
      <c r="J1084" s="70"/>
      <c r="K1084" s="70"/>
      <c r="L1084" s="70"/>
      <c r="M1084" s="70"/>
      <c r="N1084" s="70"/>
      <c r="P1084" s="156">
        <v>12573</v>
      </c>
      <c r="Q1084" s="156">
        <v>12432</v>
      </c>
      <c r="R1084" s="156">
        <v>12304</v>
      </c>
      <c r="S1084" s="156">
        <v>12810</v>
      </c>
      <c r="T1084" s="156">
        <v>12470</v>
      </c>
      <c r="U1084" s="156">
        <v>13748</v>
      </c>
      <c r="V1084" s="156">
        <v>13807</v>
      </c>
      <c r="W1084" s="156">
        <v>13854</v>
      </c>
      <c r="X1084" s="156">
        <v>14043</v>
      </c>
      <c r="Y1084" s="156">
        <v>13381</v>
      </c>
      <c r="Z1084" s="156">
        <v>14015</v>
      </c>
      <c r="AA1084" s="59">
        <v>14291</v>
      </c>
    </row>
    <row r="1085" spans="2:37" x14ac:dyDescent="0.25">
      <c r="D1085" s="9" t="s">
        <v>323</v>
      </c>
      <c r="H1085" t="s">
        <v>1505</v>
      </c>
      <c r="J1085" s="70"/>
      <c r="K1085" s="70"/>
      <c r="L1085" s="70"/>
      <c r="M1085" s="70"/>
      <c r="N1085" s="70"/>
      <c r="P1085" s="156">
        <v>9532</v>
      </c>
      <c r="Q1085" s="156">
        <v>9260</v>
      </c>
      <c r="R1085" s="156">
        <v>9339</v>
      </c>
      <c r="S1085" s="156">
        <v>9559</v>
      </c>
      <c r="T1085" s="156">
        <v>9811</v>
      </c>
      <c r="U1085" s="156">
        <v>10405</v>
      </c>
      <c r="V1085" s="156">
        <v>10864</v>
      </c>
      <c r="W1085" s="156">
        <v>10972</v>
      </c>
      <c r="X1085" s="156">
        <v>11241</v>
      </c>
      <c r="Y1085" s="156">
        <v>10751</v>
      </c>
      <c r="Z1085" s="156">
        <v>10965</v>
      </c>
      <c r="AA1085" s="59">
        <v>11988</v>
      </c>
    </row>
    <row r="1086" spans="2:37" x14ac:dyDescent="0.25">
      <c r="D1086" s="9" t="s">
        <v>324</v>
      </c>
      <c r="H1086" t="s">
        <v>1505</v>
      </c>
      <c r="J1086" s="70"/>
      <c r="K1086" s="70"/>
      <c r="L1086" s="70"/>
      <c r="M1086" s="70"/>
      <c r="N1086" s="70"/>
      <c r="P1086" s="156">
        <v>8166</v>
      </c>
      <c r="Q1086" s="156">
        <v>7429</v>
      </c>
      <c r="R1086" s="156">
        <v>7474</v>
      </c>
      <c r="S1086" s="156">
        <v>8073</v>
      </c>
      <c r="T1086" s="156">
        <v>8202</v>
      </c>
      <c r="U1086" s="156">
        <v>8275</v>
      </c>
      <c r="V1086" s="156">
        <v>9036</v>
      </c>
      <c r="W1086" s="156">
        <v>9188</v>
      </c>
      <c r="X1086" s="156">
        <v>9208</v>
      </c>
      <c r="Y1086" s="157">
        <v>8867</v>
      </c>
      <c r="Z1086" s="156">
        <v>8767</v>
      </c>
      <c r="AA1086" s="59">
        <v>8915</v>
      </c>
    </row>
    <row r="1087" spans="2:37" x14ac:dyDescent="0.25">
      <c r="D1087" s="9" t="s">
        <v>325</v>
      </c>
      <c r="H1087" t="s">
        <v>1505</v>
      </c>
      <c r="J1087" s="70"/>
      <c r="K1087" s="70"/>
      <c r="L1087" s="70"/>
      <c r="M1087" s="70"/>
      <c r="N1087" s="70"/>
      <c r="P1087" s="156">
        <v>10988</v>
      </c>
      <c r="Q1087" s="156">
        <v>10907</v>
      </c>
      <c r="R1087" s="156">
        <v>10533</v>
      </c>
      <c r="S1087" s="156">
        <v>10323</v>
      </c>
      <c r="T1087" s="156">
        <v>11123</v>
      </c>
      <c r="U1087" s="156">
        <v>11306</v>
      </c>
      <c r="V1087" s="156">
        <v>11466</v>
      </c>
      <c r="W1087" s="156">
        <v>10888</v>
      </c>
      <c r="X1087" s="156">
        <v>12068</v>
      </c>
      <c r="Y1087" s="157">
        <v>11462</v>
      </c>
      <c r="Z1087" s="156">
        <v>11605</v>
      </c>
      <c r="AA1087" s="59">
        <v>12442</v>
      </c>
    </row>
    <row r="1088" spans="2:37" s="3" customFormat="1" x14ac:dyDescent="0.25">
      <c r="B1088" s="4"/>
      <c r="J1088" s="73"/>
      <c r="K1088" s="73"/>
      <c r="L1088" s="73"/>
      <c r="M1088" s="73"/>
      <c r="N1088" s="73"/>
    </row>
    <row r="1089" spans="1:37" s="37" customFormat="1" ht="17.25" x14ac:dyDescent="0.3">
      <c r="A1089" s="37" t="s">
        <v>1466</v>
      </c>
    </row>
    <row r="1090" spans="1:37" s="223" customFormat="1" x14ac:dyDescent="0.25">
      <c r="B1090" s="64" t="s">
        <v>31</v>
      </c>
      <c r="C1090" s="223" t="s">
        <v>198</v>
      </c>
    </row>
    <row r="1091" spans="1:37" s="223" customFormat="1" x14ac:dyDescent="0.25">
      <c r="B1091" s="64" t="s">
        <v>32</v>
      </c>
      <c r="C1091" s="195" t="s">
        <v>411</v>
      </c>
    </row>
    <row r="1092" spans="1:37" s="223" customFormat="1" x14ac:dyDescent="0.25">
      <c r="B1092" s="64" t="s">
        <v>331</v>
      </c>
      <c r="C1092" s="5"/>
    </row>
    <row r="1093" spans="1:37" s="223" customFormat="1" x14ac:dyDescent="0.25">
      <c r="B1093" s="64" t="s">
        <v>332</v>
      </c>
    </row>
    <row r="1094" spans="1:37" s="34" customFormat="1" ht="15.75" thickBot="1" x14ac:dyDescent="0.3">
      <c r="B1094" s="65" t="s">
        <v>334</v>
      </c>
      <c r="C1094" s="34" t="s">
        <v>1474</v>
      </c>
    </row>
    <row r="1095" spans="1:37" s="13" customFormat="1" ht="15.75" thickTop="1" x14ac:dyDescent="0.25">
      <c r="B1095" s="64" t="s">
        <v>34</v>
      </c>
      <c r="C1095" s="15" t="s">
        <v>1467</v>
      </c>
      <c r="I1095" s="62"/>
      <c r="J1095" s="62"/>
      <c r="K1095" s="62"/>
      <c r="L1095" s="62"/>
      <c r="M1095" s="62"/>
      <c r="N1095" s="62"/>
      <c r="O1095" s="62"/>
      <c r="P1095" s="62"/>
      <c r="Q1095" s="62"/>
      <c r="R1095" s="62"/>
      <c r="S1095" s="62"/>
      <c r="T1095" s="62"/>
      <c r="U1095" s="62"/>
      <c r="V1095" s="62"/>
      <c r="W1095" s="62"/>
      <c r="X1095" s="62"/>
      <c r="Y1095" s="62"/>
      <c r="Z1095" s="62"/>
      <c r="AA1095" s="62"/>
      <c r="AB1095" s="62"/>
      <c r="AC1095" s="62"/>
      <c r="AD1095" s="62"/>
      <c r="AE1095" s="62"/>
      <c r="AF1095" s="62"/>
      <c r="AG1095" s="62"/>
      <c r="AH1095" s="62"/>
      <c r="AI1095" s="62"/>
      <c r="AJ1095" s="62"/>
      <c r="AK1095" s="62"/>
    </row>
    <row r="1096" spans="1:37" s="13" customFormat="1" x14ac:dyDescent="0.25">
      <c r="B1096" s="64"/>
      <c r="C1096" s="15"/>
      <c r="D1096" s="9" t="s">
        <v>320</v>
      </c>
      <c r="E1096" s="9"/>
      <c r="F1096" s="9"/>
      <c r="I1096" s="62"/>
      <c r="J1096" s="62"/>
      <c r="K1096" s="62"/>
      <c r="L1096" s="62"/>
      <c r="M1096" s="62"/>
      <c r="N1096" s="62"/>
      <c r="O1096" s="62"/>
      <c r="P1096" s="62"/>
      <c r="Q1096" s="62"/>
      <c r="R1096" s="62"/>
      <c r="S1096" s="62"/>
      <c r="T1096" s="62"/>
      <c r="U1096" s="62"/>
      <c r="V1096" s="62"/>
      <c r="W1096" s="62"/>
      <c r="X1096" s="62"/>
      <c r="Y1096" s="62"/>
      <c r="Z1096" s="62"/>
      <c r="AA1096" s="62"/>
      <c r="AB1096" s="62"/>
      <c r="AC1096" s="62"/>
      <c r="AD1096" s="62"/>
      <c r="AE1096" s="62"/>
      <c r="AF1096" s="62"/>
      <c r="AG1096" s="62"/>
      <c r="AH1096" s="62"/>
      <c r="AI1096" s="62"/>
      <c r="AJ1096" s="62"/>
      <c r="AK1096" s="62"/>
    </row>
    <row r="1097" spans="1:37" s="13" customFormat="1" x14ac:dyDescent="0.25">
      <c r="B1097" s="64"/>
      <c r="C1097" s="15"/>
      <c r="D1097" s="9"/>
      <c r="E1097" s="9" t="s">
        <v>1468</v>
      </c>
      <c r="F1097" s="9"/>
      <c r="I1097" s="62"/>
      <c r="J1097" s="62"/>
      <c r="K1097" s="62"/>
      <c r="L1097" s="62"/>
      <c r="M1097" s="62"/>
      <c r="N1097" s="62"/>
      <c r="O1097" s="62"/>
      <c r="P1097" s="62"/>
      <c r="Q1097" s="62"/>
      <c r="R1097" s="62"/>
      <c r="S1097" s="62"/>
      <c r="T1097" s="62"/>
      <c r="U1097" s="62"/>
      <c r="V1097" s="62"/>
      <c r="W1097" s="62"/>
      <c r="X1097" s="62"/>
      <c r="Y1097" s="62"/>
      <c r="Z1097" s="62"/>
      <c r="AA1097" s="62"/>
      <c r="AB1097" s="62"/>
      <c r="AC1097" s="62"/>
      <c r="AD1097" s="62"/>
      <c r="AE1097" s="62"/>
      <c r="AF1097" s="62"/>
      <c r="AG1097" s="62"/>
      <c r="AH1097" s="62"/>
      <c r="AI1097" s="62"/>
      <c r="AJ1097" s="62"/>
      <c r="AK1097" s="62"/>
    </row>
    <row r="1098" spans="1:37" s="13" customFormat="1" x14ac:dyDescent="0.25">
      <c r="B1098" s="64"/>
      <c r="C1098" s="15"/>
      <c r="D1098" s="9"/>
      <c r="E1098" s="9" t="s">
        <v>342</v>
      </c>
      <c r="F1098" s="9"/>
      <c r="I1098" s="62"/>
      <c r="J1098" s="62"/>
      <c r="K1098" s="62"/>
      <c r="L1098" s="62"/>
      <c r="M1098" s="62"/>
      <c r="N1098" s="62"/>
      <c r="O1098" s="62"/>
      <c r="P1098" s="62"/>
      <c r="Q1098" s="62"/>
      <c r="R1098" s="62"/>
      <c r="S1098" s="62"/>
      <c r="T1098" s="62"/>
      <c r="U1098" s="62"/>
      <c r="V1098" s="62"/>
      <c r="W1098" s="62"/>
      <c r="X1098" s="62"/>
      <c r="Y1098" s="62"/>
      <c r="Z1098" s="62"/>
      <c r="AA1098" s="62"/>
      <c r="AB1098" s="62"/>
      <c r="AC1098" s="62"/>
      <c r="AD1098" s="62"/>
      <c r="AE1098" s="62"/>
      <c r="AF1098" s="62"/>
      <c r="AG1098" s="62"/>
      <c r="AH1098" s="62"/>
      <c r="AI1098" s="62"/>
      <c r="AJ1098" s="62"/>
      <c r="AK1098" s="62"/>
    </row>
    <row r="1099" spans="1:37" s="13" customFormat="1" x14ac:dyDescent="0.25">
      <c r="B1099" s="64"/>
      <c r="C1099" s="15"/>
      <c r="D1099" s="9"/>
      <c r="E1099" s="9" t="s">
        <v>1470</v>
      </c>
      <c r="F1099" s="9"/>
      <c r="I1099" s="62"/>
      <c r="J1099" s="62"/>
      <c r="K1099" s="62"/>
      <c r="L1099" s="62"/>
      <c r="M1099" s="62"/>
      <c r="N1099" s="62"/>
      <c r="O1099" s="62"/>
      <c r="P1099" s="62"/>
      <c r="Q1099" s="62"/>
      <c r="R1099" s="62"/>
      <c r="S1099" s="62"/>
      <c r="T1099" s="62"/>
      <c r="U1099" s="62"/>
      <c r="V1099" s="62"/>
      <c r="W1099" s="62"/>
      <c r="X1099" s="62"/>
      <c r="Y1099" s="62"/>
      <c r="Z1099" s="62"/>
      <c r="AA1099" s="62"/>
      <c r="AB1099" s="62"/>
      <c r="AC1099" s="62"/>
      <c r="AD1099" s="62"/>
      <c r="AE1099" s="62"/>
      <c r="AF1099" s="62"/>
      <c r="AG1099" s="62"/>
      <c r="AH1099" s="62"/>
      <c r="AI1099" s="62"/>
      <c r="AJ1099" s="62"/>
      <c r="AK1099" s="62"/>
    </row>
    <row r="1100" spans="1:37" s="13" customFormat="1" x14ac:dyDescent="0.25">
      <c r="B1100" s="64"/>
      <c r="C1100" s="15"/>
      <c r="D1100" s="9"/>
      <c r="E1100" s="9" t="s">
        <v>1469</v>
      </c>
      <c r="F1100" s="9"/>
      <c r="I1100" s="62"/>
      <c r="J1100" s="62"/>
      <c r="K1100" s="62"/>
      <c r="L1100" s="62"/>
      <c r="M1100" s="62"/>
      <c r="N1100" s="62"/>
      <c r="O1100" s="62"/>
      <c r="P1100" s="62"/>
      <c r="Q1100" s="62"/>
      <c r="R1100" s="62"/>
      <c r="S1100" s="62"/>
      <c r="T1100" s="62"/>
      <c r="U1100" s="62"/>
      <c r="V1100" s="62"/>
      <c r="W1100" s="62"/>
      <c r="X1100" s="62"/>
      <c r="Y1100" s="62"/>
      <c r="Z1100" s="62"/>
      <c r="AA1100" s="62"/>
      <c r="AB1100" s="62"/>
      <c r="AC1100" s="62"/>
      <c r="AD1100" s="62"/>
      <c r="AE1100" s="62"/>
      <c r="AF1100" s="62"/>
      <c r="AG1100" s="62"/>
      <c r="AH1100" s="62"/>
      <c r="AI1100" s="62"/>
      <c r="AJ1100" s="62"/>
      <c r="AK1100" s="62"/>
    </row>
    <row r="1101" spans="1:37" s="13" customFormat="1" x14ac:dyDescent="0.25">
      <c r="B1101" s="64"/>
      <c r="C1101" s="15"/>
      <c r="D1101" s="9"/>
      <c r="E1101" s="9" t="s">
        <v>1471</v>
      </c>
      <c r="F1101" s="9"/>
      <c r="I1101" s="62"/>
      <c r="J1101" s="62"/>
      <c r="K1101" s="62"/>
      <c r="L1101" s="62"/>
      <c r="M1101" s="62"/>
      <c r="N1101" s="62"/>
      <c r="O1101" s="62"/>
      <c r="P1101" s="62"/>
      <c r="Q1101" s="62"/>
      <c r="R1101" s="62"/>
      <c r="S1101" s="62"/>
      <c r="T1101" s="62"/>
      <c r="U1101" s="62"/>
      <c r="V1101" s="62"/>
      <c r="W1101" s="62"/>
      <c r="X1101" s="62"/>
      <c r="Y1101" s="62"/>
      <c r="Z1101" s="62"/>
      <c r="AA1101" s="62"/>
      <c r="AB1101" s="62"/>
      <c r="AC1101" s="62"/>
      <c r="AD1101" s="62"/>
      <c r="AE1101" s="62"/>
      <c r="AF1101" s="62"/>
      <c r="AG1101" s="62"/>
      <c r="AH1101" s="62"/>
      <c r="AI1101" s="62"/>
      <c r="AJ1101" s="62"/>
      <c r="AK1101" s="62"/>
    </row>
    <row r="1102" spans="1:37" s="13" customFormat="1" x14ac:dyDescent="0.25">
      <c r="B1102" s="64"/>
      <c r="C1102" s="15"/>
      <c r="D1102" s="9" t="s">
        <v>314</v>
      </c>
      <c r="E1102" s="9"/>
      <c r="F1102" s="9"/>
      <c r="I1102" s="62"/>
      <c r="J1102" s="62"/>
      <c r="K1102" s="62"/>
      <c r="L1102" s="62"/>
      <c r="M1102" s="62"/>
      <c r="N1102" s="62"/>
      <c r="O1102" s="62"/>
      <c r="P1102" s="62"/>
      <c r="Q1102" s="62"/>
      <c r="R1102" s="62"/>
      <c r="S1102" s="62"/>
      <c r="T1102" s="62"/>
      <c r="U1102" s="62"/>
      <c r="V1102" s="62"/>
      <c r="W1102" s="62"/>
      <c r="X1102" s="62"/>
      <c r="Y1102" s="62"/>
      <c r="Z1102" s="62"/>
      <c r="AA1102" s="62"/>
      <c r="AB1102" s="62"/>
      <c r="AC1102" s="62"/>
      <c r="AD1102" s="62"/>
      <c r="AE1102" s="62"/>
      <c r="AF1102" s="62"/>
      <c r="AG1102" s="62"/>
      <c r="AH1102" s="62"/>
      <c r="AI1102" s="62"/>
      <c r="AJ1102" s="62"/>
      <c r="AK1102" s="62"/>
    </row>
    <row r="1103" spans="1:37" s="13" customFormat="1" x14ac:dyDescent="0.25">
      <c r="B1103" s="64"/>
      <c r="C1103" s="15"/>
      <c r="D1103" s="9"/>
      <c r="E1103" s="9" t="s">
        <v>1468</v>
      </c>
      <c r="F1103" s="9"/>
      <c r="I1103" s="62"/>
      <c r="J1103" s="62"/>
      <c r="K1103" s="62"/>
      <c r="L1103" s="62"/>
      <c r="M1103" s="62"/>
      <c r="N1103" s="62"/>
      <c r="O1103" s="62"/>
      <c r="P1103" s="62"/>
      <c r="Q1103" s="62"/>
      <c r="R1103" s="62"/>
      <c r="S1103" s="62"/>
      <c r="T1103" s="62"/>
      <c r="U1103" s="62"/>
      <c r="V1103" s="62"/>
      <c r="W1103" s="62"/>
      <c r="X1103" s="62"/>
      <c r="Y1103" s="62"/>
      <c r="Z1103" s="62"/>
      <c r="AA1103" s="62"/>
      <c r="AB1103" s="62"/>
      <c r="AC1103" s="62"/>
      <c r="AD1103" s="62"/>
      <c r="AE1103" s="62"/>
      <c r="AF1103" s="62"/>
      <c r="AG1103" s="62"/>
      <c r="AH1103" s="62"/>
      <c r="AI1103" s="62"/>
      <c r="AJ1103" s="62"/>
      <c r="AK1103" s="62"/>
    </row>
    <row r="1104" spans="1:37" s="13" customFormat="1" x14ac:dyDescent="0.25">
      <c r="B1104" s="64"/>
      <c r="C1104" s="15"/>
      <c r="D1104" s="9"/>
      <c r="E1104" s="9" t="s">
        <v>342</v>
      </c>
      <c r="F1104" s="9"/>
      <c r="I1104" s="62"/>
      <c r="J1104" s="62"/>
      <c r="K1104" s="62"/>
      <c r="L1104" s="62"/>
      <c r="M1104" s="62"/>
      <c r="N1104" s="62"/>
      <c r="O1104" s="62"/>
      <c r="P1104" s="62"/>
      <c r="Q1104" s="62"/>
      <c r="R1104" s="62"/>
      <c r="S1104" s="62"/>
      <c r="T1104" s="62"/>
      <c r="U1104" s="62"/>
      <c r="V1104" s="62"/>
      <c r="W1104" s="62"/>
      <c r="X1104" s="62"/>
      <c r="Y1104" s="62"/>
      <c r="Z1104" s="62"/>
      <c r="AA1104" s="62"/>
      <c r="AB1104" s="62"/>
      <c r="AC1104" s="62"/>
      <c r="AD1104" s="62"/>
      <c r="AE1104" s="62"/>
      <c r="AF1104" s="62"/>
      <c r="AG1104" s="62"/>
      <c r="AH1104" s="62"/>
      <c r="AI1104" s="62"/>
      <c r="AJ1104" s="62"/>
      <c r="AK1104" s="62"/>
    </row>
    <row r="1105" spans="2:37" s="13" customFormat="1" x14ac:dyDescent="0.25">
      <c r="B1105" s="64"/>
      <c r="C1105" s="15"/>
      <c r="D1105" s="9"/>
      <c r="E1105" s="9" t="s">
        <v>1470</v>
      </c>
      <c r="F1105" s="9"/>
      <c r="I1105" s="62"/>
      <c r="J1105" s="62"/>
      <c r="K1105" s="62"/>
      <c r="L1105" s="62"/>
      <c r="M1105" s="62"/>
      <c r="N1105" s="62"/>
      <c r="O1105" s="62"/>
      <c r="P1105" s="62"/>
      <c r="Q1105" s="62"/>
      <c r="R1105" s="62"/>
      <c r="S1105" s="62"/>
      <c r="T1105" s="62"/>
      <c r="U1105" s="62"/>
      <c r="V1105" s="62"/>
      <c r="W1105" s="62"/>
      <c r="X1105" s="62"/>
      <c r="Y1105" s="62"/>
      <c r="Z1105" s="62"/>
      <c r="AA1105" s="62"/>
      <c r="AB1105" s="62"/>
      <c r="AC1105" s="62"/>
      <c r="AD1105" s="62"/>
      <c r="AE1105" s="62"/>
      <c r="AF1105" s="62"/>
      <c r="AG1105" s="62"/>
      <c r="AH1105" s="62"/>
      <c r="AI1105" s="62"/>
      <c r="AJ1105" s="62"/>
      <c r="AK1105" s="62"/>
    </row>
    <row r="1106" spans="2:37" s="13" customFormat="1" x14ac:dyDescent="0.25">
      <c r="B1106" s="64"/>
      <c r="C1106" s="15"/>
      <c r="D1106" s="9"/>
      <c r="E1106" s="9" t="s">
        <v>1469</v>
      </c>
      <c r="F1106" s="9"/>
      <c r="I1106" s="62"/>
      <c r="J1106" s="62"/>
      <c r="K1106" s="62"/>
      <c r="L1106" s="62"/>
      <c r="M1106" s="62"/>
      <c r="N1106" s="62"/>
      <c r="O1106" s="62"/>
      <c r="P1106" s="62"/>
      <c r="Q1106" s="62"/>
      <c r="R1106" s="62"/>
      <c r="S1106" s="62"/>
      <c r="T1106" s="62"/>
      <c r="U1106" s="62"/>
      <c r="V1106" s="62"/>
      <c r="W1106" s="62"/>
      <c r="X1106" s="62"/>
      <c r="Y1106" s="62"/>
      <c r="Z1106" s="62"/>
      <c r="AA1106" s="62"/>
      <c r="AB1106" s="62"/>
      <c r="AC1106" s="62"/>
      <c r="AD1106" s="62"/>
      <c r="AE1106" s="62"/>
      <c r="AF1106" s="62"/>
      <c r="AG1106" s="62"/>
      <c r="AH1106" s="62"/>
      <c r="AI1106" s="62"/>
      <c r="AJ1106" s="62"/>
      <c r="AK1106" s="62"/>
    </row>
    <row r="1107" spans="2:37" s="13" customFormat="1" x14ac:dyDescent="0.25">
      <c r="B1107" s="64"/>
      <c r="C1107" s="15"/>
      <c r="D1107" s="9"/>
      <c r="E1107" s="9" t="s">
        <v>1471</v>
      </c>
      <c r="F1107" s="9"/>
      <c r="I1107" s="62"/>
      <c r="J1107" s="62"/>
      <c r="K1107" s="62"/>
      <c r="L1107" s="62"/>
      <c r="M1107" s="62"/>
      <c r="N1107" s="62"/>
      <c r="O1107" s="62"/>
      <c r="P1107" s="62"/>
      <c r="Q1107" s="62"/>
      <c r="R1107" s="62"/>
      <c r="S1107" s="62"/>
      <c r="T1107" s="62"/>
      <c r="U1107" s="62"/>
      <c r="V1107" s="62"/>
      <c r="W1107" s="62"/>
      <c r="X1107" s="62"/>
      <c r="Y1107" s="62"/>
      <c r="Z1107" s="62"/>
      <c r="AA1107" s="62"/>
      <c r="AB1107" s="62"/>
      <c r="AC1107" s="62"/>
      <c r="AD1107" s="62"/>
      <c r="AE1107" s="62"/>
      <c r="AF1107" s="62"/>
      <c r="AG1107" s="62"/>
      <c r="AH1107" s="62"/>
      <c r="AI1107" s="62"/>
      <c r="AJ1107" s="62"/>
      <c r="AK1107" s="62"/>
    </row>
    <row r="1108" spans="2:37" s="13" customFormat="1" x14ac:dyDescent="0.25">
      <c r="B1108" s="64"/>
      <c r="C1108" s="15" t="s">
        <v>1472</v>
      </c>
      <c r="F1108" s="9"/>
      <c r="I1108" s="62"/>
      <c r="J1108" s="62"/>
      <c r="K1108" s="62"/>
      <c r="L1108" s="62"/>
      <c r="M1108" s="62"/>
      <c r="N1108" s="62"/>
      <c r="O1108" s="62"/>
      <c r="P1108" s="62"/>
      <c r="Q1108" s="62"/>
      <c r="R1108" s="62"/>
      <c r="S1108" s="62"/>
      <c r="T1108" s="62"/>
      <c r="U1108" s="62"/>
      <c r="V1108" s="62"/>
      <c r="W1108" s="62"/>
      <c r="X1108" s="62"/>
      <c r="Y1108" s="62"/>
      <c r="Z1108" s="62"/>
      <c r="AA1108" s="62"/>
      <c r="AB1108" s="62"/>
      <c r="AC1108" s="62"/>
      <c r="AD1108" s="62"/>
      <c r="AE1108" s="62"/>
      <c r="AF1108" s="62"/>
      <c r="AG1108" s="62"/>
      <c r="AH1108" s="62"/>
      <c r="AI1108" s="62"/>
      <c r="AJ1108" s="62"/>
      <c r="AK1108" s="62"/>
    </row>
    <row r="1109" spans="2:37" s="13" customFormat="1" x14ac:dyDescent="0.25">
      <c r="B1109" s="64"/>
      <c r="C1109" s="15"/>
      <c r="D1109" s="9" t="s">
        <v>320</v>
      </c>
      <c r="E1109" s="9"/>
      <c r="F1109" s="9"/>
      <c r="I1109" s="62"/>
      <c r="J1109" s="62"/>
      <c r="K1109" s="62"/>
      <c r="L1109" s="62"/>
      <c r="M1109" s="62"/>
      <c r="N1109" s="62"/>
      <c r="O1109" s="62"/>
      <c r="P1109" s="62"/>
      <c r="Q1109" s="62"/>
      <c r="R1109" s="62"/>
      <c r="S1109" s="62"/>
      <c r="T1109" s="62"/>
      <c r="U1109" s="62"/>
      <c r="V1109" s="62"/>
      <c r="W1109" s="62"/>
      <c r="X1109" s="62"/>
      <c r="Y1109" s="62"/>
      <c r="Z1109" s="62"/>
      <c r="AA1109" s="62"/>
      <c r="AB1109" s="62"/>
      <c r="AC1109" s="62"/>
      <c r="AD1109" s="62"/>
      <c r="AE1109" s="62"/>
      <c r="AF1109" s="62"/>
      <c r="AG1109" s="62"/>
      <c r="AH1109" s="62"/>
      <c r="AI1109" s="62"/>
      <c r="AJ1109" s="62"/>
      <c r="AK1109" s="62"/>
    </row>
    <row r="1110" spans="2:37" s="13" customFormat="1" x14ac:dyDescent="0.25">
      <c r="B1110" s="64"/>
      <c r="C1110" s="15"/>
      <c r="D1110" s="9"/>
      <c r="E1110" s="9" t="s">
        <v>1468</v>
      </c>
      <c r="F1110" s="9"/>
      <c r="I1110" s="62"/>
      <c r="J1110" s="62"/>
      <c r="K1110" s="62"/>
      <c r="L1110" s="62"/>
      <c r="M1110" s="62"/>
      <c r="N1110" s="62"/>
      <c r="O1110" s="62"/>
      <c r="P1110" s="62"/>
      <c r="Q1110" s="62"/>
      <c r="R1110" s="62"/>
      <c r="S1110" s="62"/>
      <c r="T1110" s="62"/>
      <c r="U1110" s="62"/>
      <c r="V1110" s="62"/>
      <c r="W1110" s="62"/>
      <c r="X1110" s="62"/>
      <c r="Y1110" s="62"/>
      <c r="Z1110" s="62"/>
      <c r="AA1110" s="62"/>
      <c r="AB1110" s="62"/>
      <c r="AC1110" s="62"/>
      <c r="AD1110" s="62"/>
      <c r="AE1110" s="62"/>
      <c r="AF1110" s="62"/>
      <c r="AG1110" s="62"/>
      <c r="AH1110" s="62"/>
      <c r="AI1110" s="62"/>
      <c r="AJ1110" s="62"/>
      <c r="AK1110" s="62"/>
    </row>
    <row r="1111" spans="2:37" s="13" customFormat="1" x14ac:dyDescent="0.25">
      <c r="B1111" s="64"/>
      <c r="C1111" s="15"/>
      <c r="D1111" s="9"/>
      <c r="E1111" s="9" t="s">
        <v>342</v>
      </c>
      <c r="F1111" s="9"/>
      <c r="I1111" s="62"/>
      <c r="J1111" s="62"/>
      <c r="K1111" s="62"/>
      <c r="L1111" s="62"/>
      <c r="M1111" s="62"/>
      <c r="N1111" s="62"/>
      <c r="O1111" s="62"/>
      <c r="P1111" s="62"/>
      <c r="Q1111" s="62"/>
      <c r="R1111" s="62"/>
      <c r="S1111" s="62"/>
      <c r="T1111" s="62"/>
      <c r="U1111" s="62"/>
      <c r="V1111" s="62"/>
      <c r="W1111" s="62"/>
      <c r="X1111" s="62"/>
      <c r="Y1111" s="62"/>
      <c r="Z1111" s="62"/>
      <c r="AA1111" s="62"/>
      <c r="AB1111" s="62"/>
      <c r="AC1111" s="62"/>
      <c r="AD1111" s="62"/>
      <c r="AE1111" s="62"/>
      <c r="AF1111" s="62"/>
      <c r="AG1111" s="62"/>
      <c r="AH1111" s="62"/>
      <c r="AI1111" s="62"/>
      <c r="AJ1111" s="62"/>
      <c r="AK1111" s="62"/>
    </row>
    <row r="1112" spans="2:37" s="13" customFormat="1" x14ac:dyDescent="0.25">
      <c r="B1112" s="64"/>
      <c r="C1112" s="15"/>
      <c r="D1112" s="9"/>
      <c r="E1112" s="9" t="s">
        <v>1470</v>
      </c>
      <c r="F1112" s="9"/>
      <c r="I1112" s="62"/>
      <c r="J1112" s="62"/>
      <c r="K1112" s="62"/>
      <c r="L1112" s="62"/>
      <c r="M1112" s="62"/>
      <c r="N1112" s="62"/>
      <c r="O1112" s="62"/>
      <c r="P1112" s="62"/>
      <c r="Q1112" s="62"/>
      <c r="R1112" s="62"/>
      <c r="S1112" s="62"/>
      <c r="T1112" s="62"/>
      <c r="U1112" s="62"/>
      <c r="V1112" s="62"/>
      <c r="W1112" s="62"/>
      <c r="X1112" s="62"/>
      <c r="Y1112" s="62"/>
      <c r="Z1112" s="62"/>
      <c r="AA1112" s="62"/>
      <c r="AB1112" s="62"/>
      <c r="AC1112" s="62"/>
      <c r="AD1112" s="62"/>
      <c r="AE1112" s="62"/>
      <c r="AF1112" s="62"/>
      <c r="AG1112" s="62"/>
      <c r="AH1112" s="62"/>
      <c r="AI1112" s="62"/>
      <c r="AJ1112" s="62"/>
      <c r="AK1112" s="62"/>
    </row>
    <row r="1113" spans="2:37" s="13" customFormat="1" x14ac:dyDescent="0.25">
      <c r="B1113" s="64"/>
      <c r="C1113" s="15"/>
      <c r="D1113" s="9"/>
      <c r="E1113" s="9" t="s">
        <v>1469</v>
      </c>
      <c r="F1113" s="9"/>
      <c r="I1113" s="62"/>
      <c r="J1113" s="62"/>
      <c r="K1113" s="62"/>
      <c r="L1113" s="62"/>
      <c r="M1113" s="62"/>
      <c r="N1113" s="62"/>
      <c r="O1113" s="62"/>
      <c r="P1113" s="62"/>
      <c r="Q1113" s="62"/>
      <c r="R1113" s="62"/>
      <c r="S1113" s="62"/>
      <c r="T1113" s="62"/>
      <c r="U1113" s="62"/>
      <c r="V1113" s="62"/>
      <c r="W1113" s="62"/>
      <c r="X1113" s="62"/>
      <c r="Y1113" s="62"/>
      <c r="Z1113" s="62"/>
      <c r="AA1113" s="62"/>
      <c r="AB1113" s="62"/>
      <c r="AC1113" s="62"/>
      <c r="AD1113" s="62"/>
      <c r="AE1113" s="62"/>
      <c r="AF1113" s="62"/>
      <c r="AG1113" s="62"/>
      <c r="AH1113" s="62"/>
      <c r="AI1113" s="62"/>
      <c r="AJ1113" s="62"/>
      <c r="AK1113" s="62"/>
    </row>
    <row r="1114" spans="2:37" s="13" customFormat="1" x14ac:dyDescent="0.25">
      <c r="B1114" s="64"/>
      <c r="C1114" s="15"/>
      <c r="D1114" s="9"/>
      <c r="E1114" s="9" t="s">
        <v>1471</v>
      </c>
      <c r="F1114" s="9"/>
      <c r="I1114" s="62"/>
      <c r="J1114" s="62"/>
      <c r="K1114" s="62"/>
      <c r="L1114" s="62"/>
      <c r="M1114" s="62"/>
      <c r="N1114" s="62"/>
      <c r="O1114" s="62"/>
      <c r="P1114" s="62"/>
      <c r="Q1114" s="62"/>
      <c r="R1114" s="62"/>
      <c r="S1114" s="62"/>
      <c r="T1114" s="62"/>
      <c r="U1114" s="62"/>
      <c r="V1114" s="62"/>
      <c r="W1114" s="62"/>
      <c r="X1114" s="62"/>
      <c r="Y1114" s="62"/>
      <c r="Z1114" s="62"/>
      <c r="AA1114" s="62"/>
      <c r="AB1114" s="62"/>
      <c r="AC1114" s="62"/>
      <c r="AD1114" s="62"/>
      <c r="AE1114" s="62"/>
      <c r="AF1114" s="62"/>
      <c r="AG1114" s="62"/>
      <c r="AH1114" s="62"/>
      <c r="AI1114" s="62"/>
      <c r="AJ1114" s="62"/>
      <c r="AK1114" s="62"/>
    </row>
    <row r="1115" spans="2:37" s="13" customFormat="1" x14ac:dyDescent="0.25">
      <c r="B1115" s="64"/>
      <c r="C1115" s="15"/>
      <c r="D1115" s="9" t="s">
        <v>314</v>
      </c>
      <c r="E1115" s="9"/>
      <c r="F1115" s="9"/>
      <c r="I1115" s="62"/>
      <c r="J1115" s="62"/>
      <c r="K1115" s="62"/>
      <c r="L1115" s="62"/>
      <c r="M1115" s="62"/>
      <c r="N1115" s="62"/>
      <c r="O1115" s="62"/>
      <c r="P1115" s="62"/>
      <c r="Q1115" s="62"/>
      <c r="R1115" s="62"/>
      <c r="S1115" s="62"/>
      <c r="T1115" s="62"/>
      <c r="U1115" s="62"/>
      <c r="V1115" s="62"/>
      <c r="W1115" s="62"/>
      <c r="X1115" s="62"/>
      <c r="Y1115" s="62"/>
      <c r="Z1115" s="62"/>
      <c r="AA1115" s="62"/>
      <c r="AB1115" s="62"/>
      <c r="AC1115" s="62"/>
      <c r="AD1115" s="62"/>
      <c r="AE1115" s="62"/>
      <c r="AF1115" s="62"/>
      <c r="AG1115" s="62"/>
      <c r="AH1115" s="62"/>
      <c r="AI1115" s="62"/>
      <c r="AJ1115" s="62"/>
      <c r="AK1115" s="62"/>
    </row>
    <row r="1116" spans="2:37" s="13" customFormat="1" x14ac:dyDescent="0.25">
      <c r="B1116" s="64"/>
      <c r="C1116" s="15"/>
      <c r="D1116" s="9"/>
      <c r="E1116" s="9" t="s">
        <v>1468</v>
      </c>
      <c r="F1116" s="9"/>
      <c r="I1116" s="62"/>
      <c r="J1116" s="62"/>
      <c r="K1116" s="62"/>
      <c r="L1116" s="62"/>
      <c r="M1116" s="62"/>
      <c r="N1116" s="62"/>
      <c r="O1116" s="62"/>
      <c r="P1116" s="62"/>
      <c r="Q1116" s="62"/>
      <c r="R1116" s="62"/>
      <c r="S1116" s="62"/>
      <c r="T1116" s="62"/>
      <c r="U1116" s="62"/>
      <c r="V1116" s="62"/>
      <c r="W1116" s="62"/>
      <c r="X1116" s="62"/>
      <c r="Y1116" s="62"/>
      <c r="Z1116" s="62"/>
      <c r="AA1116" s="62"/>
      <c r="AB1116" s="62"/>
      <c r="AC1116" s="62"/>
      <c r="AD1116" s="62"/>
      <c r="AE1116" s="62"/>
      <c r="AF1116" s="62"/>
      <c r="AG1116" s="62"/>
      <c r="AH1116" s="62"/>
      <c r="AI1116" s="62"/>
      <c r="AJ1116" s="62"/>
      <c r="AK1116" s="62"/>
    </row>
    <row r="1117" spans="2:37" s="13" customFormat="1" x14ac:dyDescent="0.25">
      <c r="B1117" s="64"/>
      <c r="C1117" s="15"/>
      <c r="D1117" s="9"/>
      <c r="E1117" s="9" t="s">
        <v>342</v>
      </c>
      <c r="F1117" s="9"/>
      <c r="I1117" s="62"/>
      <c r="J1117" s="62"/>
      <c r="K1117" s="62"/>
      <c r="L1117" s="62"/>
      <c r="M1117" s="62"/>
      <c r="N1117" s="62"/>
      <c r="O1117" s="62"/>
      <c r="P1117" s="62"/>
      <c r="Q1117" s="62"/>
      <c r="R1117" s="62"/>
      <c r="S1117" s="62"/>
      <c r="T1117" s="62"/>
      <c r="U1117" s="62"/>
      <c r="V1117" s="62"/>
      <c r="W1117" s="62"/>
      <c r="X1117" s="62"/>
      <c r="Y1117" s="62"/>
      <c r="Z1117" s="62"/>
      <c r="AA1117" s="62"/>
      <c r="AB1117" s="62"/>
      <c r="AC1117" s="62"/>
      <c r="AD1117" s="62"/>
      <c r="AE1117" s="62"/>
      <c r="AF1117" s="62"/>
      <c r="AG1117" s="62"/>
      <c r="AH1117" s="62"/>
      <c r="AI1117" s="62"/>
      <c r="AJ1117" s="62"/>
      <c r="AK1117" s="62"/>
    </row>
    <row r="1118" spans="2:37" s="13" customFormat="1" x14ac:dyDescent="0.25">
      <c r="B1118" s="64"/>
      <c r="C1118" s="15"/>
      <c r="D1118" s="9"/>
      <c r="E1118" s="9" t="s">
        <v>1470</v>
      </c>
      <c r="F1118" s="9"/>
      <c r="I1118" s="62"/>
      <c r="J1118" s="62"/>
      <c r="K1118" s="62"/>
      <c r="L1118" s="62"/>
      <c r="M1118" s="62"/>
      <c r="N1118" s="62"/>
      <c r="O1118" s="62"/>
      <c r="P1118" s="62"/>
      <c r="Q1118" s="62"/>
      <c r="R1118" s="62"/>
      <c r="S1118" s="62"/>
      <c r="T1118" s="62"/>
      <c r="U1118" s="62"/>
      <c r="V1118" s="62"/>
      <c r="W1118" s="62"/>
      <c r="X1118" s="62"/>
      <c r="Y1118" s="62"/>
      <c r="Z1118" s="62"/>
      <c r="AA1118" s="62"/>
      <c r="AB1118" s="62"/>
      <c r="AC1118" s="62"/>
      <c r="AD1118" s="62"/>
      <c r="AE1118" s="62"/>
      <c r="AF1118" s="62"/>
      <c r="AG1118" s="62"/>
      <c r="AH1118" s="62"/>
      <c r="AI1118" s="62"/>
      <c r="AJ1118" s="62"/>
      <c r="AK1118" s="62"/>
    </row>
    <row r="1119" spans="2:37" s="13" customFormat="1" x14ac:dyDescent="0.25">
      <c r="B1119" s="64"/>
      <c r="C1119" s="15"/>
      <c r="D1119" s="9"/>
      <c r="E1119" s="9" t="s">
        <v>1469</v>
      </c>
      <c r="F1119" s="9"/>
      <c r="I1119" s="62"/>
      <c r="J1119" s="62"/>
      <c r="K1119" s="62"/>
      <c r="L1119" s="62"/>
      <c r="M1119" s="62"/>
      <c r="N1119" s="62"/>
      <c r="O1119" s="62"/>
      <c r="P1119" s="62"/>
      <c r="Q1119" s="62"/>
      <c r="R1119" s="62"/>
      <c r="S1119" s="62"/>
      <c r="T1119" s="62"/>
      <c r="U1119" s="62"/>
      <c r="V1119" s="62"/>
      <c r="W1119" s="62"/>
      <c r="X1119" s="62"/>
      <c r="Y1119" s="62"/>
      <c r="Z1119" s="62"/>
      <c r="AA1119" s="62"/>
      <c r="AB1119" s="62"/>
      <c r="AC1119" s="62"/>
      <c r="AD1119" s="62"/>
      <c r="AE1119" s="62"/>
      <c r="AF1119" s="62"/>
      <c r="AG1119" s="62"/>
      <c r="AH1119" s="62"/>
      <c r="AI1119" s="62"/>
      <c r="AJ1119" s="62"/>
      <c r="AK1119" s="62"/>
    </row>
    <row r="1120" spans="2:37" s="13" customFormat="1" x14ac:dyDescent="0.25">
      <c r="B1120" s="64"/>
      <c r="C1120" s="15"/>
      <c r="D1120" s="9"/>
      <c r="E1120" s="9" t="s">
        <v>1471</v>
      </c>
      <c r="F1120" s="9"/>
      <c r="I1120" s="62"/>
      <c r="J1120" s="62"/>
      <c r="K1120" s="62"/>
      <c r="L1120" s="62"/>
      <c r="M1120" s="62"/>
      <c r="N1120" s="62"/>
      <c r="O1120" s="62"/>
      <c r="P1120" s="62"/>
      <c r="Q1120" s="62"/>
      <c r="R1120" s="62"/>
      <c r="S1120" s="62"/>
      <c r="T1120" s="62"/>
      <c r="U1120" s="62"/>
      <c r="V1120" s="62"/>
      <c r="W1120" s="62"/>
      <c r="X1120" s="62"/>
      <c r="Y1120" s="62"/>
      <c r="Z1120" s="62"/>
      <c r="AA1120" s="62"/>
      <c r="AB1120" s="62"/>
      <c r="AC1120" s="62"/>
      <c r="AD1120" s="62"/>
      <c r="AE1120" s="62"/>
      <c r="AF1120" s="62"/>
      <c r="AG1120" s="62"/>
      <c r="AH1120" s="62"/>
      <c r="AI1120" s="62"/>
      <c r="AJ1120" s="62"/>
      <c r="AK1120" s="62"/>
    </row>
    <row r="1121" spans="1:37" s="13" customFormat="1" x14ac:dyDescent="0.25">
      <c r="B1121" s="64"/>
      <c r="C1121" s="15" t="s">
        <v>1473</v>
      </c>
      <c r="F1121" s="9"/>
      <c r="I1121" s="62"/>
      <c r="J1121" s="62"/>
      <c r="K1121" s="62"/>
      <c r="L1121" s="62"/>
      <c r="M1121" s="62"/>
      <c r="N1121" s="62"/>
      <c r="O1121" s="62"/>
      <c r="P1121" s="62"/>
      <c r="Q1121" s="62"/>
      <c r="R1121" s="62"/>
      <c r="S1121" s="62"/>
      <c r="T1121" s="62"/>
      <c r="U1121" s="62"/>
      <c r="V1121" s="62"/>
      <c r="W1121" s="62"/>
      <c r="X1121" s="62"/>
      <c r="Y1121" s="62"/>
      <c r="Z1121" s="62"/>
      <c r="AA1121" s="62"/>
      <c r="AB1121" s="62"/>
      <c r="AC1121" s="62"/>
      <c r="AD1121" s="62"/>
      <c r="AE1121" s="62"/>
      <c r="AF1121" s="62"/>
      <c r="AG1121" s="62"/>
      <c r="AH1121" s="62"/>
      <c r="AI1121" s="62"/>
      <c r="AJ1121" s="62"/>
      <c r="AK1121" s="62"/>
    </row>
    <row r="1122" spans="1:37" s="13" customFormat="1" x14ac:dyDescent="0.25">
      <c r="B1122" s="64"/>
      <c r="C1122" s="15"/>
      <c r="D1122" s="9" t="s">
        <v>320</v>
      </c>
      <c r="E1122" s="9"/>
      <c r="F1122" s="9"/>
      <c r="I1122" s="62"/>
      <c r="J1122" s="62"/>
      <c r="K1122" s="62"/>
      <c r="L1122" s="62"/>
      <c r="M1122" s="62"/>
      <c r="N1122" s="62"/>
      <c r="O1122" s="62"/>
      <c r="P1122" s="62"/>
      <c r="Q1122" s="62"/>
      <c r="R1122" s="62"/>
      <c r="S1122" s="62"/>
      <c r="T1122" s="62"/>
      <c r="U1122" s="62"/>
      <c r="V1122" s="62"/>
      <c r="W1122" s="62"/>
      <c r="X1122" s="62"/>
      <c r="Y1122" s="62"/>
      <c r="Z1122" s="62"/>
      <c r="AA1122" s="62"/>
      <c r="AB1122" s="62"/>
      <c r="AC1122" s="62"/>
      <c r="AD1122" s="62"/>
      <c r="AE1122" s="62"/>
      <c r="AF1122" s="62"/>
      <c r="AG1122" s="62"/>
      <c r="AH1122" s="62"/>
      <c r="AI1122" s="62"/>
      <c r="AJ1122" s="62"/>
      <c r="AK1122" s="62"/>
    </row>
    <row r="1123" spans="1:37" s="13" customFormat="1" x14ac:dyDescent="0.25">
      <c r="B1123" s="64"/>
      <c r="C1123" s="15"/>
      <c r="D1123" s="9"/>
      <c r="E1123" s="9" t="s">
        <v>1468</v>
      </c>
      <c r="F1123" s="9"/>
      <c r="I1123" s="62"/>
      <c r="J1123" s="62"/>
      <c r="K1123" s="62"/>
      <c r="L1123" s="62"/>
      <c r="M1123" s="62"/>
      <c r="N1123" s="62"/>
      <c r="O1123" s="62"/>
      <c r="P1123" s="62"/>
      <c r="Q1123" s="62"/>
      <c r="R1123" s="62"/>
      <c r="S1123" s="62"/>
      <c r="T1123" s="62"/>
      <c r="U1123" s="62"/>
      <c r="V1123" s="62"/>
      <c r="W1123" s="62"/>
      <c r="X1123" s="62"/>
      <c r="Y1123" s="62"/>
      <c r="Z1123" s="62"/>
      <c r="AA1123" s="62"/>
      <c r="AB1123" s="62"/>
      <c r="AC1123" s="62"/>
      <c r="AD1123" s="62"/>
      <c r="AE1123" s="62"/>
      <c r="AF1123" s="62"/>
      <c r="AG1123" s="62"/>
      <c r="AH1123" s="62"/>
      <c r="AI1123" s="62"/>
      <c r="AJ1123" s="62"/>
      <c r="AK1123" s="62"/>
    </row>
    <row r="1124" spans="1:37" s="13" customFormat="1" x14ac:dyDescent="0.25">
      <c r="B1124" s="64"/>
      <c r="C1124" s="15"/>
      <c r="D1124" s="9"/>
      <c r="E1124" s="9" t="s">
        <v>342</v>
      </c>
      <c r="F1124" s="9"/>
      <c r="I1124" s="62"/>
      <c r="J1124" s="62"/>
      <c r="K1124" s="62"/>
      <c r="L1124" s="62"/>
      <c r="M1124" s="62"/>
      <c r="N1124" s="62"/>
      <c r="O1124" s="62"/>
      <c r="P1124" s="62"/>
      <c r="Q1124" s="62"/>
      <c r="R1124" s="62"/>
      <c r="S1124" s="62"/>
      <c r="T1124" s="62"/>
      <c r="U1124" s="62"/>
      <c r="V1124" s="62"/>
      <c r="W1124" s="62"/>
      <c r="X1124" s="62"/>
      <c r="Y1124" s="62"/>
      <c r="Z1124" s="62"/>
      <c r="AA1124" s="62"/>
      <c r="AB1124" s="62"/>
      <c r="AC1124" s="62"/>
      <c r="AD1124" s="62"/>
      <c r="AE1124" s="62"/>
      <c r="AF1124" s="62"/>
      <c r="AG1124" s="62"/>
      <c r="AH1124" s="62"/>
      <c r="AI1124" s="62"/>
      <c r="AJ1124" s="62"/>
      <c r="AK1124" s="62"/>
    </row>
    <row r="1125" spans="1:37" s="13" customFormat="1" x14ac:dyDescent="0.25">
      <c r="B1125" s="64"/>
      <c r="C1125" s="15"/>
      <c r="D1125" s="9"/>
      <c r="E1125" s="9" t="s">
        <v>1470</v>
      </c>
      <c r="F1125" s="9"/>
      <c r="I1125" s="62"/>
      <c r="J1125" s="62"/>
      <c r="K1125" s="62"/>
      <c r="L1125" s="62"/>
      <c r="M1125" s="62"/>
      <c r="N1125" s="62"/>
      <c r="O1125" s="62"/>
      <c r="P1125" s="62"/>
      <c r="Q1125" s="62"/>
      <c r="R1125" s="62"/>
      <c r="S1125" s="62"/>
      <c r="T1125" s="62"/>
      <c r="U1125" s="62"/>
      <c r="V1125" s="62"/>
      <c r="W1125" s="62"/>
      <c r="X1125" s="62"/>
      <c r="Y1125" s="62"/>
      <c r="Z1125" s="62"/>
      <c r="AA1125" s="62"/>
      <c r="AB1125" s="62"/>
      <c r="AC1125" s="62"/>
      <c r="AD1125" s="62"/>
      <c r="AE1125" s="62"/>
      <c r="AF1125" s="62"/>
      <c r="AG1125" s="62"/>
      <c r="AH1125" s="62"/>
      <c r="AI1125" s="62"/>
      <c r="AJ1125" s="62"/>
      <c r="AK1125" s="62"/>
    </row>
    <row r="1126" spans="1:37" s="13" customFormat="1" x14ac:dyDescent="0.25">
      <c r="B1126" s="64"/>
      <c r="C1126" s="15"/>
      <c r="D1126" s="9"/>
      <c r="E1126" s="9" t="s">
        <v>1469</v>
      </c>
      <c r="F1126" s="9"/>
      <c r="I1126" s="62"/>
      <c r="J1126" s="62"/>
      <c r="K1126" s="62"/>
      <c r="L1126" s="62"/>
      <c r="M1126" s="62"/>
      <c r="N1126" s="62"/>
      <c r="O1126" s="62"/>
      <c r="P1126" s="62"/>
      <c r="Q1126" s="62"/>
      <c r="R1126" s="62"/>
      <c r="S1126" s="62"/>
      <c r="T1126" s="62"/>
      <c r="U1126" s="62"/>
      <c r="V1126" s="62"/>
      <c r="W1126" s="62"/>
      <c r="X1126" s="62"/>
      <c r="Y1126" s="62"/>
      <c r="Z1126" s="62"/>
      <c r="AA1126" s="62"/>
      <c r="AB1126" s="62"/>
      <c r="AC1126" s="62"/>
      <c r="AD1126" s="62"/>
      <c r="AE1126" s="62"/>
      <c r="AF1126" s="62"/>
      <c r="AG1126" s="62"/>
      <c r="AH1126" s="62"/>
      <c r="AI1126" s="62"/>
      <c r="AJ1126" s="62"/>
      <c r="AK1126" s="62"/>
    </row>
    <row r="1127" spans="1:37" s="13" customFormat="1" x14ac:dyDescent="0.25">
      <c r="B1127" s="64"/>
      <c r="C1127" s="15"/>
      <c r="D1127" s="9"/>
      <c r="E1127" s="9" t="s">
        <v>1471</v>
      </c>
      <c r="F1127" s="9"/>
      <c r="I1127" s="62"/>
      <c r="J1127" s="62"/>
      <c r="K1127" s="62"/>
      <c r="L1127" s="62"/>
      <c r="M1127" s="62"/>
      <c r="N1127" s="62"/>
      <c r="O1127" s="62"/>
      <c r="P1127" s="62"/>
      <c r="Q1127" s="62"/>
      <c r="R1127" s="62"/>
      <c r="S1127" s="62"/>
      <c r="T1127" s="62"/>
      <c r="U1127" s="62"/>
      <c r="V1127" s="62"/>
      <c r="W1127" s="62"/>
      <c r="X1127" s="62"/>
      <c r="Y1127" s="62"/>
      <c r="Z1127" s="62"/>
      <c r="AA1127" s="62"/>
      <c r="AB1127" s="62"/>
      <c r="AC1127" s="62"/>
      <c r="AD1127" s="62"/>
      <c r="AE1127" s="62"/>
      <c r="AF1127" s="62"/>
      <c r="AG1127" s="62"/>
      <c r="AH1127" s="62"/>
      <c r="AI1127" s="62"/>
      <c r="AJ1127" s="62"/>
      <c r="AK1127" s="62"/>
    </row>
    <row r="1128" spans="1:37" s="13" customFormat="1" x14ac:dyDescent="0.25">
      <c r="B1128" s="64"/>
      <c r="C1128" s="15"/>
      <c r="D1128" s="9" t="s">
        <v>314</v>
      </c>
      <c r="E1128" s="9"/>
      <c r="F1128" s="9"/>
      <c r="I1128" s="62"/>
      <c r="J1128" s="62"/>
      <c r="K1128" s="62"/>
      <c r="L1128" s="62"/>
      <c r="M1128" s="62"/>
      <c r="N1128" s="62"/>
      <c r="O1128" s="62"/>
      <c r="P1128" s="62"/>
      <c r="Q1128" s="62"/>
      <c r="R1128" s="62"/>
      <c r="S1128" s="62"/>
      <c r="T1128" s="62"/>
      <c r="U1128" s="62"/>
      <c r="V1128" s="62"/>
      <c r="W1128" s="62"/>
      <c r="X1128" s="62"/>
      <c r="Y1128" s="62"/>
      <c r="Z1128" s="62"/>
      <c r="AA1128" s="62"/>
      <c r="AB1128" s="62"/>
      <c r="AC1128" s="62"/>
      <c r="AD1128" s="62"/>
      <c r="AE1128" s="62"/>
      <c r="AF1128" s="62"/>
      <c r="AG1128" s="62"/>
      <c r="AH1128" s="62"/>
      <c r="AI1128" s="62"/>
      <c r="AJ1128" s="62"/>
      <c r="AK1128" s="62"/>
    </row>
    <row r="1129" spans="1:37" s="13" customFormat="1" x14ac:dyDescent="0.25">
      <c r="B1129" s="64"/>
      <c r="C1129" s="15"/>
      <c r="D1129" s="9"/>
      <c r="E1129" s="9" t="s">
        <v>1468</v>
      </c>
      <c r="F1129" s="9"/>
      <c r="I1129" s="62"/>
      <c r="J1129" s="62"/>
      <c r="K1129" s="62"/>
      <c r="L1129" s="62"/>
      <c r="M1129" s="62"/>
      <c r="N1129" s="62"/>
      <c r="O1129" s="62"/>
      <c r="P1129" s="62"/>
      <c r="Q1129" s="62"/>
      <c r="R1129" s="62"/>
      <c r="S1129" s="62"/>
      <c r="T1129" s="62"/>
      <c r="U1129" s="62"/>
      <c r="V1129" s="62"/>
      <c r="W1129" s="62"/>
      <c r="X1129" s="62"/>
      <c r="Y1129" s="62"/>
      <c r="Z1129" s="62"/>
      <c r="AA1129" s="62"/>
      <c r="AB1129" s="62"/>
      <c r="AC1129" s="62"/>
      <c r="AD1129" s="62"/>
      <c r="AE1129" s="62"/>
      <c r="AF1129" s="62"/>
      <c r="AG1129" s="62"/>
      <c r="AH1129" s="62"/>
      <c r="AI1129" s="62"/>
      <c r="AJ1129" s="62"/>
      <c r="AK1129" s="62"/>
    </row>
    <row r="1130" spans="1:37" s="13" customFormat="1" x14ac:dyDescent="0.25">
      <c r="B1130" s="64"/>
      <c r="C1130" s="15"/>
      <c r="D1130" s="9"/>
      <c r="E1130" s="9" t="s">
        <v>342</v>
      </c>
      <c r="F1130" s="9"/>
      <c r="I1130" s="62"/>
      <c r="J1130" s="62"/>
      <c r="K1130" s="62"/>
      <c r="L1130" s="62"/>
      <c r="M1130" s="62"/>
      <c r="N1130" s="62"/>
      <c r="O1130" s="62"/>
      <c r="P1130" s="62"/>
      <c r="Q1130" s="62"/>
      <c r="R1130" s="62"/>
      <c r="S1130" s="62"/>
      <c r="T1130" s="62"/>
      <c r="U1130" s="62"/>
      <c r="V1130" s="62"/>
      <c r="W1130" s="62"/>
      <c r="X1130" s="62"/>
      <c r="Y1130" s="62"/>
      <c r="Z1130" s="62"/>
      <c r="AA1130" s="62"/>
      <c r="AB1130" s="62"/>
      <c r="AC1130" s="62"/>
      <c r="AD1130" s="62"/>
      <c r="AE1130" s="62"/>
      <c r="AF1130" s="62"/>
      <c r="AG1130" s="62"/>
      <c r="AH1130" s="62"/>
      <c r="AI1130" s="62"/>
      <c r="AJ1130" s="62"/>
      <c r="AK1130" s="62"/>
    </row>
    <row r="1131" spans="1:37" s="13" customFormat="1" x14ac:dyDescent="0.25">
      <c r="B1131" s="64"/>
      <c r="C1131" s="15"/>
      <c r="D1131" s="9"/>
      <c r="E1131" s="9" t="s">
        <v>1470</v>
      </c>
      <c r="F1131" s="9"/>
      <c r="I1131" s="62"/>
      <c r="J1131" s="62"/>
      <c r="K1131" s="62"/>
      <c r="L1131" s="62"/>
      <c r="M1131" s="62"/>
      <c r="N1131" s="62"/>
      <c r="O1131" s="62"/>
      <c r="P1131" s="62"/>
      <c r="Q1131" s="62"/>
      <c r="R1131" s="62"/>
      <c r="S1131" s="62"/>
      <c r="T1131" s="62"/>
      <c r="U1131" s="62"/>
      <c r="V1131" s="62"/>
      <c r="W1131" s="62"/>
      <c r="X1131" s="62"/>
      <c r="Y1131" s="62"/>
      <c r="Z1131" s="62"/>
      <c r="AA1131" s="62"/>
      <c r="AB1131" s="62"/>
      <c r="AC1131" s="62"/>
      <c r="AD1131" s="62"/>
      <c r="AE1131" s="62"/>
      <c r="AF1131" s="62"/>
      <c r="AG1131" s="62"/>
      <c r="AH1131" s="62"/>
      <c r="AI1131" s="62"/>
      <c r="AJ1131" s="62"/>
      <c r="AK1131" s="62"/>
    </row>
    <row r="1132" spans="1:37" s="13" customFormat="1" x14ac:dyDescent="0.25">
      <c r="B1132" s="64"/>
      <c r="C1132" s="15"/>
      <c r="D1132" s="9"/>
      <c r="E1132" s="9" t="s">
        <v>1469</v>
      </c>
      <c r="F1132" s="9"/>
      <c r="I1132" s="62"/>
      <c r="J1132" s="62"/>
      <c r="K1132" s="62"/>
      <c r="L1132" s="62"/>
      <c r="M1132" s="62"/>
      <c r="N1132" s="62"/>
      <c r="O1132" s="62"/>
      <c r="P1132" s="62"/>
      <c r="Q1132" s="62"/>
      <c r="R1132" s="62"/>
      <c r="S1132" s="62"/>
      <c r="T1132" s="62"/>
      <c r="U1132" s="62"/>
      <c r="V1132" s="62"/>
      <c r="W1132" s="62"/>
      <c r="X1132" s="62"/>
      <c r="Y1132" s="62"/>
      <c r="Z1132" s="62"/>
      <c r="AA1132" s="62"/>
      <c r="AB1132" s="62"/>
      <c r="AC1132" s="62"/>
      <c r="AD1132" s="62"/>
      <c r="AE1132" s="62"/>
      <c r="AF1132" s="62"/>
      <c r="AG1132" s="62"/>
      <c r="AH1132" s="62"/>
      <c r="AI1132" s="62"/>
      <c r="AJ1132" s="62"/>
      <c r="AK1132" s="62"/>
    </row>
    <row r="1133" spans="1:37" s="13" customFormat="1" x14ac:dyDescent="0.25">
      <c r="B1133" s="64"/>
      <c r="C1133" s="15"/>
      <c r="D1133" s="9"/>
      <c r="E1133" s="9" t="s">
        <v>1471</v>
      </c>
      <c r="F1133" s="9"/>
      <c r="I1133" s="62"/>
      <c r="J1133" s="62"/>
      <c r="K1133" s="62"/>
      <c r="L1133" s="62"/>
      <c r="M1133" s="62"/>
      <c r="N1133" s="62"/>
      <c r="O1133" s="62"/>
      <c r="P1133" s="62"/>
      <c r="Q1133" s="62"/>
      <c r="R1133" s="62"/>
      <c r="S1133" s="62"/>
      <c r="T1133" s="62"/>
      <c r="U1133" s="62"/>
      <c r="V1133" s="62"/>
      <c r="W1133" s="62"/>
      <c r="X1133" s="62"/>
      <c r="Y1133" s="62"/>
      <c r="Z1133" s="62"/>
      <c r="AA1133" s="62"/>
      <c r="AB1133" s="62"/>
      <c r="AC1133" s="62"/>
      <c r="AD1133" s="62"/>
      <c r="AE1133" s="62"/>
      <c r="AF1133" s="62"/>
      <c r="AG1133" s="62"/>
      <c r="AH1133" s="62"/>
      <c r="AI1133" s="62"/>
      <c r="AJ1133" s="62"/>
      <c r="AK1133" s="62"/>
    </row>
    <row r="1134" spans="1:37" s="3" customFormat="1" x14ac:dyDescent="0.25">
      <c r="B1134" s="4"/>
      <c r="J1134" s="73"/>
      <c r="K1134" s="73"/>
      <c r="L1134" s="73"/>
      <c r="M1134" s="73"/>
      <c r="N1134" s="73"/>
    </row>
    <row r="1135" spans="1:37" s="37" customFormat="1" ht="17.25" x14ac:dyDescent="0.3">
      <c r="A1135" s="37" t="s">
        <v>328</v>
      </c>
    </row>
    <row r="1136" spans="1:37" x14ac:dyDescent="0.25">
      <c r="B1136" s="64" t="s">
        <v>31</v>
      </c>
      <c r="C1136" t="s">
        <v>549</v>
      </c>
    </row>
    <row r="1137" spans="2:37" x14ac:dyDescent="0.25">
      <c r="B1137" s="64" t="s">
        <v>32</v>
      </c>
      <c r="C1137" s="195" t="s">
        <v>328</v>
      </c>
    </row>
    <row r="1138" spans="2:37" x14ac:dyDescent="0.25">
      <c r="B1138" s="64" t="s">
        <v>331</v>
      </c>
      <c r="C1138" s="5" t="s">
        <v>550</v>
      </c>
    </row>
    <row r="1139" spans="2:37" x14ac:dyDescent="0.25">
      <c r="B1139" s="64" t="s">
        <v>332</v>
      </c>
      <c r="C1139" t="s">
        <v>551</v>
      </c>
    </row>
    <row r="1140" spans="2:37" s="34" customFormat="1" ht="15.75" thickBot="1" x14ac:dyDescent="0.3">
      <c r="B1140" s="65" t="s">
        <v>334</v>
      </c>
      <c r="C1140" s="34" t="s">
        <v>552</v>
      </c>
    </row>
    <row r="1141" spans="2:37" s="13" customFormat="1" ht="15.75" thickTop="1" x14ac:dyDescent="0.25">
      <c r="B1141" s="64" t="s">
        <v>34</v>
      </c>
      <c r="C1141" s="15" t="s">
        <v>553</v>
      </c>
      <c r="H1141" s="13" t="s">
        <v>1504</v>
      </c>
      <c r="I1141" s="62">
        <f>SUM(I1142:I1153)</f>
        <v>337450</v>
      </c>
      <c r="J1141" s="62">
        <f t="shared" ref="J1141:AK1141" si="181">SUM(J1142:J1153)</f>
        <v>363180</v>
      </c>
      <c r="K1141" s="62">
        <f t="shared" si="181"/>
        <v>437923</v>
      </c>
      <c r="L1141" s="62">
        <f t="shared" si="181"/>
        <v>530642</v>
      </c>
      <c r="M1141" s="62">
        <f t="shared" si="181"/>
        <v>625874</v>
      </c>
      <c r="N1141" s="62">
        <f t="shared" si="181"/>
        <v>712562</v>
      </c>
      <c r="O1141" s="62">
        <f t="shared" si="181"/>
        <v>880898</v>
      </c>
      <c r="P1141" s="62">
        <f t="shared" si="181"/>
        <v>817327</v>
      </c>
      <c r="Q1141" s="62">
        <f t="shared" si="181"/>
        <v>803942</v>
      </c>
      <c r="R1141" s="62">
        <f t="shared" si="181"/>
        <v>838150</v>
      </c>
      <c r="S1141" s="62">
        <f t="shared" si="181"/>
        <v>878833</v>
      </c>
      <c r="T1141" s="62">
        <f t="shared" si="181"/>
        <v>905794</v>
      </c>
      <c r="U1141" s="62">
        <f t="shared" si="181"/>
        <v>982131</v>
      </c>
      <c r="V1141" s="62">
        <f t="shared" si="181"/>
        <v>936245</v>
      </c>
      <c r="W1141" s="62">
        <f t="shared" si="181"/>
        <v>981599</v>
      </c>
      <c r="X1141" s="62">
        <f t="shared" si="181"/>
        <v>1019392</v>
      </c>
      <c r="Y1141" s="62">
        <f t="shared" si="181"/>
        <v>1071652</v>
      </c>
      <c r="Z1141" s="62">
        <f t="shared" si="181"/>
        <v>1098706</v>
      </c>
      <c r="AA1141" s="62">
        <f t="shared" si="181"/>
        <v>589568</v>
      </c>
      <c r="AB1141" s="62">
        <f t="shared" si="181"/>
        <v>0</v>
      </c>
      <c r="AC1141" s="62">
        <f t="shared" si="181"/>
        <v>0</v>
      </c>
      <c r="AD1141" s="62">
        <f t="shared" si="181"/>
        <v>0</v>
      </c>
      <c r="AE1141" s="62">
        <f t="shared" si="181"/>
        <v>0</v>
      </c>
      <c r="AF1141" s="62">
        <f t="shared" si="181"/>
        <v>0</v>
      </c>
      <c r="AG1141" s="62">
        <f t="shared" si="181"/>
        <v>0</v>
      </c>
      <c r="AH1141" s="62">
        <f t="shared" si="181"/>
        <v>0</v>
      </c>
      <c r="AI1141" s="62">
        <f t="shared" si="181"/>
        <v>0</v>
      </c>
      <c r="AJ1141" s="62">
        <f t="shared" si="181"/>
        <v>0</v>
      </c>
      <c r="AK1141" s="62">
        <f t="shared" si="181"/>
        <v>0</v>
      </c>
    </row>
    <row r="1142" spans="2:37" s="9" customFormat="1" x14ac:dyDescent="0.25">
      <c r="B1142" s="128"/>
      <c r="C1142" s="51"/>
      <c r="D1142" s="9" t="s">
        <v>314</v>
      </c>
      <c r="H1142" s="9" t="s">
        <v>1504</v>
      </c>
      <c r="I1142" s="85">
        <v>49872</v>
      </c>
      <c r="J1142" s="85">
        <v>58914</v>
      </c>
      <c r="K1142" s="85">
        <v>67428</v>
      </c>
      <c r="L1142" s="85">
        <v>90545</v>
      </c>
      <c r="M1142" s="85">
        <v>105982</v>
      </c>
      <c r="N1142" s="85">
        <v>108299</v>
      </c>
      <c r="O1142" s="85">
        <v>125954</v>
      </c>
      <c r="P1142" s="85">
        <v>129024</v>
      </c>
      <c r="Q1142" s="85">
        <v>114954</v>
      </c>
      <c r="R1142" s="85">
        <v>118651</v>
      </c>
      <c r="S1142" s="85">
        <v>125304</v>
      </c>
      <c r="T1142" s="85">
        <v>132042</v>
      </c>
      <c r="U1142" s="85">
        <v>142330</v>
      </c>
      <c r="V1142" s="85">
        <v>145348</v>
      </c>
      <c r="W1142" s="85">
        <v>141747</v>
      </c>
      <c r="X1142" s="85">
        <v>143512</v>
      </c>
      <c r="Y1142" s="85">
        <v>156841</v>
      </c>
      <c r="Z1142" s="85">
        <v>160357</v>
      </c>
      <c r="AA1142" s="85">
        <v>151243</v>
      </c>
      <c r="AB1142" s="85"/>
      <c r="AC1142" s="85"/>
      <c r="AD1142" s="85"/>
      <c r="AE1142" s="85"/>
      <c r="AF1142" s="85"/>
      <c r="AG1142" s="85"/>
      <c r="AH1142" s="85"/>
      <c r="AI1142" s="85"/>
      <c r="AJ1142" s="85"/>
      <c r="AK1142" s="85"/>
    </row>
    <row r="1143" spans="2:37" s="9" customFormat="1" x14ac:dyDescent="0.25">
      <c r="B1143" s="128"/>
      <c r="C1143" s="51"/>
      <c r="D1143" s="9" t="s">
        <v>315</v>
      </c>
      <c r="H1143" s="9" t="s">
        <v>1504</v>
      </c>
      <c r="I1143" s="85">
        <v>58085</v>
      </c>
      <c r="J1143" s="85">
        <v>57939</v>
      </c>
      <c r="K1143" s="85">
        <v>66156</v>
      </c>
      <c r="L1143" s="85">
        <v>79092</v>
      </c>
      <c r="M1143" s="85">
        <v>95281</v>
      </c>
      <c r="N1143" s="85">
        <v>98244</v>
      </c>
      <c r="O1143" s="85">
        <v>118011</v>
      </c>
      <c r="P1143" s="85">
        <v>118073</v>
      </c>
      <c r="Q1143" s="85">
        <v>112226</v>
      </c>
      <c r="R1143" s="85">
        <v>113232</v>
      </c>
      <c r="S1143" s="85">
        <v>120976</v>
      </c>
      <c r="T1143" s="85">
        <v>125700</v>
      </c>
      <c r="U1143" s="85">
        <v>135830</v>
      </c>
      <c r="V1143" s="85">
        <v>131257</v>
      </c>
      <c r="W1143" s="85">
        <v>134139</v>
      </c>
      <c r="X1143" s="85">
        <v>125483</v>
      </c>
      <c r="Y1143" s="85">
        <v>141408</v>
      </c>
      <c r="Z1143" s="85">
        <v>148838</v>
      </c>
      <c r="AA1143" s="85">
        <v>153539</v>
      </c>
      <c r="AB1143" s="85"/>
      <c r="AC1143" s="85"/>
      <c r="AD1143" s="85"/>
      <c r="AE1143" s="85"/>
      <c r="AF1143" s="85"/>
      <c r="AG1143" s="85"/>
      <c r="AH1143" s="85"/>
      <c r="AI1143" s="85"/>
      <c r="AJ1143" s="85"/>
      <c r="AK1143" s="85"/>
    </row>
    <row r="1144" spans="2:37" s="9" customFormat="1" x14ac:dyDescent="0.25">
      <c r="B1144" s="128"/>
      <c r="C1144" s="51"/>
      <c r="D1144" s="9" t="s">
        <v>316</v>
      </c>
      <c r="H1144" s="9" t="s">
        <v>1504</v>
      </c>
      <c r="I1144" s="85">
        <v>64449</v>
      </c>
      <c r="J1144" s="85">
        <v>55755</v>
      </c>
      <c r="K1144" s="85">
        <v>65365</v>
      </c>
      <c r="L1144" s="85">
        <v>80561</v>
      </c>
      <c r="M1144" s="85">
        <v>98249</v>
      </c>
      <c r="N1144" s="85">
        <v>97671</v>
      </c>
      <c r="O1144" s="85">
        <v>112181</v>
      </c>
      <c r="P1144" s="85">
        <v>112787</v>
      </c>
      <c r="Q1144" s="85">
        <v>106796</v>
      </c>
      <c r="R1144" s="85">
        <v>119661</v>
      </c>
      <c r="S1144" s="85">
        <v>115666</v>
      </c>
      <c r="T1144" s="85">
        <v>122812</v>
      </c>
      <c r="U1144" s="85">
        <v>132363</v>
      </c>
      <c r="V1144" s="85">
        <v>120939</v>
      </c>
      <c r="W1144" s="85">
        <v>131586</v>
      </c>
      <c r="X1144" s="85">
        <v>133759</v>
      </c>
      <c r="Y1144" s="85">
        <v>139961</v>
      </c>
      <c r="Z1144" s="85">
        <v>144751</v>
      </c>
      <c r="AA1144" s="85">
        <v>84641</v>
      </c>
      <c r="AB1144" s="85"/>
      <c r="AC1144" s="85"/>
      <c r="AD1144" s="85"/>
      <c r="AE1144" s="85"/>
      <c r="AF1144" s="85"/>
      <c r="AG1144" s="85"/>
      <c r="AH1144" s="85"/>
      <c r="AI1144" s="85"/>
      <c r="AJ1144" s="85"/>
      <c r="AK1144" s="85"/>
    </row>
    <row r="1145" spans="2:37" s="9" customFormat="1" x14ac:dyDescent="0.25">
      <c r="B1145" s="128"/>
      <c r="C1145" s="51"/>
      <c r="D1145" s="9" t="s">
        <v>317</v>
      </c>
      <c r="H1145" s="9" t="s">
        <v>1504</v>
      </c>
      <c r="I1145" s="85">
        <v>11572</v>
      </c>
      <c r="J1145" s="85">
        <v>11977</v>
      </c>
      <c r="K1145" s="85">
        <v>13334</v>
      </c>
      <c r="L1145" s="85">
        <v>20373</v>
      </c>
      <c r="M1145" s="85">
        <v>17413</v>
      </c>
      <c r="N1145" s="85">
        <v>28161</v>
      </c>
      <c r="O1145" s="85">
        <v>38139</v>
      </c>
      <c r="P1145" s="85">
        <v>38814</v>
      </c>
      <c r="Q1145" s="85">
        <v>37434</v>
      </c>
      <c r="R1145" s="85">
        <v>37032</v>
      </c>
      <c r="S1145" s="85">
        <v>43655</v>
      </c>
      <c r="T1145" s="85">
        <v>45164</v>
      </c>
      <c r="U1145" s="85">
        <v>45371</v>
      </c>
      <c r="V1145" s="85">
        <v>37234</v>
      </c>
      <c r="W1145" s="85">
        <v>38312</v>
      </c>
      <c r="X1145" s="85">
        <v>48443</v>
      </c>
      <c r="Y1145" s="85">
        <v>50080</v>
      </c>
      <c r="Z1145" s="85">
        <v>53956</v>
      </c>
      <c r="AA1145" s="85">
        <v>9595</v>
      </c>
      <c r="AB1145" s="85"/>
      <c r="AC1145" s="85"/>
      <c r="AD1145" s="85"/>
      <c r="AE1145" s="85"/>
      <c r="AF1145" s="85"/>
      <c r="AG1145" s="85"/>
      <c r="AH1145" s="85"/>
      <c r="AI1145" s="85"/>
      <c r="AJ1145" s="85"/>
      <c r="AK1145" s="85"/>
    </row>
    <row r="1146" spans="2:37" s="9" customFormat="1" x14ac:dyDescent="0.25">
      <c r="B1146" s="128"/>
      <c r="C1146" s="51"/>
      <c r="D1146" s="9" t="s">
        <v>318</v>
      </c>
      <c r="H1146" s="9" t="s">
        <v>1504</v>
      </c>
      <c r="I1146" s="85">
        <v>9374</v>
      </c>
      <c r="J1146" s="85">
        <v>11032</v>
      </c>
      <c r="K1146" s="85">
        <v>13181</v>
      </c>
      <c r="L1146" s="85">
        <v>18069</v>
      </c>
      <c r="M1146" s="85">
        <v>23295</v>
      </c>
      <c r="N1146" s="85">
        <v>26033</v>
      </c>
      <c r="O1146" s="85">
        <v>41118</v>
      </c>
      <c r="P1146" s="85">
        <v>39878</v>
      </c>
      <c r="Q1146" s="85">
        <v>36753</v>
      </c>
      <c r="R1146" s="85">
        <v>40297</v>
      </c>
      <c r="S1146" s="85">
        <v>37549</v>
      </c>
      <c r="T1146" s="85">
        <v>39321</v>
      </c>
      <c r="U1146" s="85">
        <v>46694</v>
      </c>
      <c r="V1146" s="85">
        <v>38532</v>
      </c>
      <c r="W1146" s="85">
        <v>41941</v>
      </c>
      <c r="X1146" s="85">
        <v>44741</v>
      </c>
      <c r="Y1146" s="85">
        <v>46463</v>
      </c>
      <c r="Z1146" s="85">
        <v>46947</v>
      </c>
      <c r="AA1146" s="85">
        <v>11919</v>
      </c>
      <c r="AB1146" s="85"/>
      <c r="AC1146" s="85"/>
      <c r="AD1146" s="85"/>
      <c r="AE1146" s="85"/>
      <c r="AF1146" s="85"/>
      <c r="AG1146" s="85"/>
      <c r="AH1146" s="85"/>
      <c r="AI1146" s="85"/>
      <c r="AJ1146" s="85"/>
      <c r="AK1146" s="85"/>
    </row>
    <row r="1147" spans="2:37" s="9" customFormat="1" x14ac:dyDescent="0.25">
      <c r="B1147" s="128"/>
      <c r="C1147" s="51"/>
      <c r="D1147" s="9" t="s">
        <v>319</v>
      </c>
      <c r="H1147" s="9" t="s">
        <v>1504</v>
      </c>
      <c r="I1147" s="85">
        <v>17794</v>
      </c>
      <c r="J1147" s="85">
        <v>20109</v>
      </c>
      <c r="K1147" s="85">
        <v>27352</v>
      </c>
      <c r="L1147" s="85">
        <v>32085</v>
      </c>
      <c r="M1147" s="85">
        <v>39236</v>
      </c>
      <c r="N1147" s="85">
        <v>45226</v>
      </c>
      <c r="O1147" s="85">
        <v>67476</v>
      </c>
      <c r="P1147" s="85">
        <v>53896</v>
      </c>
      <c r="Q1147" s="85">
        <v>50240</v>
      </c>
      <c r="R1147" s="85">
        <v>57179</v>
      </c>
      <c r="S1147" s="85">
        <v>57167</v>
      </c>
      <c r="T1147" s="85">
        <v>60714</v>
      </c>
      <c r="U1147" s="85">
        <v>68597</v>
      </c>
      <c r="V1147" s="85">
        <v>64075</v>
      </c>
      <c r="W1147" s="85">
        <v>68349</v>
      </c>
      <c r="X1147" s="85">
        <v>72659</v>
      </c>
      <c r="Y1147" s="85">
        <v>71946</v>
      </c>
      <c r="Z1147" s="85">
        <v>67461</v>
      </c>
      <c r="AA1147" s="85">
        <v>17598</v>
      </c>
      <c r="AB1147" s="85"/>
      <c r="AC1147" s="85"/>
      <c r="AD1147" s="85"/>
      <c r="AE1147" s="85"/>
      <c r="AF1147" s="85"/>
      <c r="AG1147" s="85"/>
      <c r="AH1147" s="85"/>
      <c r="AI1147" s="85"/>
      <c r="AJ1147" s="85"/>
      <c r="AK1147" s="85"/>
    </row>
    <row r="1148" spans="2:37" s="9" customFormat="1" x14ac:dyDescent="0.25">
      <c r="B1148" s="128"/>
      <c r="C1148" s="51"/>
      <c r="D1148" s="9" t="s">
        <v>320</v>
      </c>
      <c r="H1148" s="9" t="s">
        <v>1504</v>
      </c>
      <c r="I1148" s="85">
        <v>27564</v>
      </c>
      <c r="J1148" s="85">
        <v>30952</v>
      </c>
      <c r="K1148" s="85">
        <v>34727</v>
      </c>
      <c r="L1148" s="85">
        <v>35942</v>
      </c>
      <c r="M1148" s="85">
        <v>46779</v>
      </c>
      <c r="N1148" s="85">
        <v>57716</v>
      </c>
      <c r="O1148" s="85">
        <v>78799</v>
      </c>
      <c r="P1148" s="85">
        <v>59400</v>
      </c>
      <c r="Q1148" s="85">
        <v>59518</v>
      </c>
      <c r="R1148" s="85">
        <v>62524</v>
      </c>
      <c r="S1148" s="85">
        <v>66935</v>
      </c>
      <c r="T1148" s="85">
        <v>67787</v>
      </c>
      <c r="U1148" s="85">
        <v>75333</v>
      </c>
      <c r="V1148" s="85">
        <v>74954</v>
      </c>
      <c r="W1148" s="85">
        <v>79670</v>
      </c>
      <c r="X1148" s="85">
        <v>84383</v>
      </c>
      <c r="Y1148" s="85">
        <v>86843</v>
      </c>
      <c r="Z1148" s="293">
        <v>79986</v>
      </c>
      <c r="AA1148" s="85">
        <v>22069</v>
      </c>
      <c r="AB1148" s="85"/>
      <c r="AC1148" s="85"/>
      <c r="AD1148" s="85"/>
      <c r="AE1148" s="85"/>
      <c r="AF1148" s="85"/>
      <c r="AG1148" s="85"/>
      <c r="AH1148" s="85"/>
      <c r="AI1148" s="85"/>
      <c r="AJ1148" s="85"/>
      <c r="AK1148" s="85"/>
    </row>
    <row r="1149" spans="2:37" s="9" customFormat="1" x14ac:dyDescent="0.25">
      <c r="B1149" s="128"/>
      <c r="C1149" s="51"/>
      <c r="D1149" s="9" t="s">
        <v>321</v>
      </c>
      <c r="H1149" s="9" t="s">
        <v>1504</v>
      </c>
      <c r="I1149" s="85">
        <v>25179</v>
      </c>
      <c r="J1149" s="85">
        <v>28628</v>
      </c>
      <c r="K1149" s="85">
        <v>29835</v>
      </c>
      <c r="L1149" s="85">
        <v>33843</v>
      </c>
      <c r="M1149" s="85">
        <v>42867</v>
      </c>
      <c r="N1149" s="85">
        <v>55439</v>
      </c>
      <c r="O1149" s="85">
        <v>67925</v>
      </c>
      <c r="P1149" s="85">
        <v>56118</v>
      </c>
      <c r="Q1149" s="85">
        <v>55247</v>
      </c>
      <c r="R1149" s="85">
        <v>58486</v>
      </c>
      <c r="S1149" s="85">
        <v>64368</v>
      </c>
      <c r="T1149" s="85">
        <v>61082</v>
      </c>
      <c r="U1149" s="85">
        <v>69860</v>
      </c>
      <c r="V1149" s="85">
        <v>64138</v>
      </c>
      <c r="W1149" s="85">
        <v>76509</v>
      </c>
      <c r="X1149" s="85">
        <v>79810</v>
      </c>
      <c r="Y1149" s="85">
        <v>82403</v>
      </c>
      <c r="Z1149" s="293">
        <v>80203</v>
      </c>
      <c r="AA1149" s="85">
        <v>22836</v>
      </c>
      <c r="AB1149" s="85"/>
      <c r="AC1149" s="85"/>
      <c r="AD1149" s="85"/>
      <c r="AE1149" s="85"/>
      <c r="AF1149" s="85"/>
      <c r="AG1149" s="85"/>
      <c r="AH1149" s="85"/>
      <c r="AI1149" s="85"/>
      <c r="AJ1149" s="85"/>
      <c r="AK1149" s="85"/>
    </row>
    <row r="1150" spans="2:37" s="9" customFormat="1" x14ac:dyDescent="0.25">
      <c r="B1150" s="128"/>
      <c r="C1150" s="51"/>
      <c r="D1150" s="9" t="s">
        <v>322</v>
      </c>
      <c r="H1150" s="9" t="s">
        <v>1504</v>
      </c>
      <c r="I1150" s="85">
        <v>18860</v>
      </c>
      <c r="J1150" s="85">
        <v>22890</v>
      </c>
      <c r="K1150" s="85">
        <v>27936</v>
      </c>
      <c r="L1150" s="85">
        <v>32517</v>
      </c>
      <c r="M1150" s="85">
        <v>39187</v>
      </c>
      <c r="N1150" s="85">
        <v>47307</v>
      </c>
      <c r="O1150" s="85">
        <v>57150</v>
      </c>
      <c r="P1150" s="85">
        <v>50493</v>
      </c>
      <c r="Q1150" s="85">
        <v>48686</v>
      </c>
      <c r="R1150" s="85">
        <v>51602</v>
      </c>
      <c r="S1150" s="85">
        <v>54089</v>
      </c>
      <c r="T1150" s="85">
        <v>54337</v>
      </c>
      <c r="U1150" s="85">
        <v>59119</v>
      </c>
      <c r="V1150" s="85">
        <v>58548</v>
      </c>
      <c r="W1150" s="85">
        <v>58745</v>
      </c>
      <c r="X1150" s="85">
        <v>63529</v>
      </c>
      <c r="Y1150" s="85">
        <v>66945</v>
      </c>
      <c r="Z1150" s="293">
        <v>82415</v>
      </c>
      <c r="AA1150" s="85">
        <v>21961</v>
      </c>
      <c r="AB1150" s="85"/>
      <c r="AC1150" s="85"/>
      <c r="AD1150" s="85"/>
      <c r="AE1150" s="85"/>
      <c r="AF1150" s="85"/>
      <c r="AG1150" s="85"/>
      <c r="AH1150" s="85"/>
      <c r="AI1150" s="85"/>
      <c r="AJ1150" s="85"/>
      <c r="AK1150" s="85"/>
    </row>
    <row r="1151" spans="2:37" s="9" customFormat="1" x14ac:dyDescent="0.25">
      <c r="B1151" s="128"/>
      <c r="C1151" s="51"/>
      <c r="D1151" s="9" t="s">
        <v>323</v>
      </c>
      <c r="H1151" s="9" t="s">
        <v>1504</v>
      </c>
      <c r="I1151" s="85">
        <v>11009</v>
      </c>
      <c r="J1151" s="85">
        <v>13092</v>
      </c>
      <c r="K1151" s="85">
        <v>16047</v>
      </c>
      <c r="L1151" s="85">
        <v>20979</v>
      </c>
      <c r="M1151" s="85">
        <v>21626</v>
      </c>
      <c r="N1151" s="85">
        <v>30028</v>
      </c>
      <c r="O1151" s="85">
        <v>39035</v>
      </c>
      <c r="P1151" s="85">
        <v>35170</v>
      </c>
      <c r="Q1151" s="85">
        <v>35374</v>
      </c>
      <c r="R1151" s="85">
        <v>37003</v>
      </c>
      <c r="S1151" s="85">
        <v>38976</v>
      </c>
      <c r="T1151" s="85">
        <v>39352</v>
      </c>
      <c r="U1151" s="85">
        <v>39011</v>
      </c>
      <c r="V1151" s="85">
        <v>36051</v>
      </c>
      <c r="W1151" s="85">
        <v>40608</v>
      </c>
      <c r="X1151" s="85">
        <v>43816</v>
      </c>
      <c r="Y1151" s="85">
        <v>46256</v>
      </c>
      <c r="Z1151" s="293">
        <v>61887</v>
      </c>
      <c r="AA1151" s="85">
        <v>19387</v>
      </c>
      <c r="AB1151" s="85"/>
      <c r="AC1151" s="85"/>
      <c r="AD1151" s="85"/>
      <c r="AE1151" s="85"/>
      <c r="AF1151" s="85"/>
      <c r="AG1151" s="85"/>
      <c r="AH1151" s="85"/>
      <c r="AI1151" s="85"/>
      <c r="AJ1151" s="85"/>
      <c r="AK1151" s="85"/>
    </row>
    <row r="1152" spans="2:37" s="9" customFormat="1" x14ac:dyDescent="0.25">
      <c r="B1152" s="128"/>
      <c r="C1152" s="51"/>
      <c r="D1152" s="9" t="s">
        <v>324</v>
      </c>
      <c r="H1152" s="9" t="s">
        <v>1504</v>
      </c>
      <c r="I1152" s="85">
        <v>7464</v>
      </c>
      <c r="J1152" s="85">
        <v>7192</v>
      </c>
      <c r="K1152" s="85">
        <v>11702</v>
      </c>
      <c r="L1152" s="85">
        <v>13448</v>
      </c>
      <c r="M1152" s="85">
        <v>17083</v>
      </c>
      <c r="N1152" s="85">
        <v>23462</v>
      </c>
      <c r="O1152" s="85">
        <v>31080</v>
      </c>
      <c r="P1152" s="85">
        <v>30844</v>
      </c>
      <c r="Q1152" s="85">
        <v>34480</v>
      </c>
      <c r="R1152" s="85">
        <v>37671</v>
      </c>
      <c r="S1152" s="85">
        <v>39606</v>
      </c>
      <c r="T1152" s="85">
        <v>34352</v>
      </c>
      <c r="U1152" s="85">
        <v>35938</v>
      </c>
      <c r="V1152" s="85">
        <v>36197</v>
      </c>
      <c r="W1152" s="85">
        <v>36355</v>
      </c>
      <c r="X1152" s="85">
        <v>43960</v>
      </c>
      <c r="Y1152" s="85">
        <v>47006</v>
      </c>
      <c r="Z1152" s="293">
        <v>49979</v>
      </c>
      <c r="AA1152" s="85">
        <v>17505</v>
      </c>
      <c r="AB1152" s="85"/>
      <c r="AC1152" s="85"/>
      <c r="AD1152" s="85"/>
      <c r="AE1152" s="85"/>
      <c r="AF1152" s="85"/>
      <c r="AG1152" s="85"/>
      <c r="AH1152" s="85"/>
      <c r="AI1152" s="85"/>
      <c r="AJ1152" s="85"/>
      <c r="AK1152" s="85"/>
    </row>
    <row r="1153" spans="1:37" s="9" customFormat="1" x14ac:dyDescent="0.25">
      <c r="B1153" s="128"/>
      <c r="C1153" s="51"/>
      <c r="D1153" s="9" t="s">
        <v>325</v>
      </c>
      <c r="H1153" s="9" t="s">
        <v>1504</v>
      </c>
      <c r="I1153" s="85">
        <v>36228</v>
      </c>
      <c r="J1153" s="85">
        <v>44700</v>
      </c>
      <c r="K1153" s="85">
        <v>64860</v>
      </c>
      <c r="L1153" s="85">
        <v>73188</v>
      </c>
      <c r="M1153" s="85">
        <v>78876</v>
      </c>
      <c r="N1153" s="85">
        <v>94976</v>
      </c>
      <c r="O1153" s="85">
        <v>104030</v>
      </c>
      <c r="P1153" s="85">
        <v>92830</v>
      </c>
      <c r="Q1153" s="85">
        <v>112234</v>
      </c>
      <c r="R1153" s="85">
        <v>104812</v>
      </c>
      <c r="S1153" s="85">
        <v>114542</v>
      </c>
      <c r="T1153" s="85">
        <v>123131</v>
      </c>
      <c r="U1153" s="85">
        <v>131685</v>
      </c>
      <c r="V1153" s="85">
        <v>128972</v>
      </c>
      <c r="W1153" s="85">
        <v>133638</v>
      </c>
      <c r="X1153" s="85">
        <v>135297</v>
      </c>
      <c r="Y1153" s="85">
        <v>135500</v>
      </c>
      <c r="Z1153" s="293">
        <v>121926</v>
      </c>
      <c r="AA1153" s="85">
        <v>57275</v>
      </c>
      <c r="AB1153" s="85"/>
      <c r="AC1153" s="85"/>
      <c r="AD1153" s="85"/>
      <c r="AE1153" s="85"/>
      <c r="AF1153" s="85"/>
      <c r="AG1153" s="85"/>
      <c r="AH1153" s="85"/>
      <c r="AI1153" s="85"/>
      <c r="AJ1153" s="85"/>
      <c r="AK1153" s="85"/>
    </row>
    <row r="1154" spans="1:37" s="3" customFormat="1" x14ac:dyDescent="0.25">
      <c r="B1154" s="4"/>
      <c r="J1154" s="73"/>
      <c r="K1154" s="73"/>
      <c r="L1154" s="73"/>
      <c r="M1154" s="73"/>
      <c r="N1154" s="73"/>
    </row>
    <row r="1155" spans="1:37" s="37" customFormat="1" ht="17.25" x14ac:dyDescent="0.3">
      <c r="A1155" s="37" t="s">
        <v>23</v>
      </c>
    </row>
    <row r="1156" spans="1:37" x14ac:dyDescent="0.25">
      <c r="B1156" s="64" t="s">
        <v>31</v>
      </c>
      <c r="C1156" t="s">
        <v>528</v>
      </c>
    </row>
    <row r="1157" spans="1:37" x14ac:dyDescent="0.25">
      <c r="B1157" s="64" t="s">
        <v>32</v>
      </c>
      <c r="C1157" s="195" t="s">
        <v>23</v>
      </c>
    </row>
    <row r="1158" spans="1:37" x14ac:dyDescent="0.25">
      <c r="B1158" s="64" t="s">
        <v>331</v>
      </c>
      <c r="C1158" s="5" t="s">
        <v>529</v>
      </c>
    </row>
    <row r="1159" spans="1:37" x14ac:dyDescent="0.25">
      <c r="B1159" s="64"/>
      <c r="C1159" s="2" t="s">
        <v>537</v>
      </c>
    </row>
    <row r="1160" spans="1:37" x14ac:dyDescent="0.25">
      <c r="B1160" s="64"/>
      <c r="C1160" s="2" t="s">
        <v>1547</v>
      </c>
    </row>
    <row r="1161" spans="1:37" x14ac:dyDescent="0.25">
      <c r="B1161" s="64" t="s">
        <v>332</v>
      </c>
      <c r="C1161" t="s">
        <v>538</v>
      </c>
    </row>
    <row r="1162" spans="1:37" s="34" customFormat="1" ht="15.75" thickBot="1" x14ac:dyDescent="0.3">
      <c r="B1162" s="65" t="s">
        <v>334</v>
      </c>
      <c r="C1162" s="34" t="s">
        <v>539</v>
      </c>
    </row>
    <row r="1163" spans="1:37" s="13" customFormat="1" ht="15.75" thickTop="1" x14ac:dyDescent="0.25">
      <c r="B1163" s="14"/>
      <c r="C1163" s="15" t="s">
        <v>1548</v>
      </c>
      <c r="I1163" s="62"/>
      <c r="J1163" s="62"/>
      <c r="K1163" s="62"/>
      <c r="L1163" s="62"/>
      <c r="M1163" s="62"/>
      <c r="N1163" s="62"/>
      <c r="O1163" s="62"/>
      <c r="P1163" s="62"/>
      <c r="Q1163" s="62"/>
      <c r="R1163" s="62"/>
      <c r="S1163" s="62"/>
      <c r="T1163" s="62"/>
      <c r="U1163" s="62"/>
      <c r="V1163" s="62"/>
      <c r="W1163" s="62"/>
      <c r="X1163" s="62"/>
      <c r="Y1163" s="62"/>
      <c r="Z1163" s="62"/>
      <c r="AA1163" s="62"/>
      <c r="AB1163" s="62"/>
      <c r="AC1163" s="62"/>
      <c r="AD1163" s="62"/>
      <c r="AE1163" s="62"/>
      <c r="AF1163" s="62"/>
      <c r="AG1163" s="62"/>
      <c r="AH1163" s="62"/>
      <c r="AI1163" s="62"/>
      <c r="AJ1163" s="62"/>
      <c r="AK1163" s="62"/>
    </row>
    <row r="1164" spans="1:37" s="9" customFormat="1" x14ac:dyDescent="0.25">
      <c r="B1164" s="128"/>
      <c r="C1164" s="51"/>
      <c r="D1164" s="9" t="s">
        <v>536</v>
      </c>
      <c r="H1164" s="9" t="s">
        <v>1503</v>
      </c>
      <c r="I1164" s="85"/>
      <c r="J1164" s="85">
        <v>129</v>
      </c>
      <c r="K1164" s="85">
        <v>251</v>
      </c>
      <c r="L1164" s="85">
        <v>146</v>
      </c>
      <c r="M1164" s="85">
        <v>264</v>
      </c>
      <c r="N1164" s="85">
        <v>197</v>
      </c>
      <c r="O1164" s="85">
        <v>220</v>
      </c>
      <c r="P1164" s="85">
        <v>179</v>
      </c>
      <c r="Q1164" s="85">
        <v>136</v>
      </c>
      <c r="R1164" s="85">
        <v>371</v>
      </c>
      <c r="S1164" s="85">
        <v>206</v>
      </c>
      <c r="T1164" s="85">
        <v>171</v>
      </c>
      <c r="U1164" s="85">
        <v>213</v>
      </c>
      <c r="V1164" s="85">
        <v>277</v>
      </c>
      <c r="W1164" s="85">
        <v>284</v>
      </c>
      <c r="X1164" s="85">
        <v>358</v>
      </c>
      <c r="Y1164" s="85">
        <v>181</v>
      </c>
      <c r="Z1164" s="85">
        <v>267</v>
      </c>
      <c r="AA1164" s="85">
        <v>219</v>
      </c>
      <c r="AB1164" s="85"/>
      <c r="AC1164" s="85"/>
      <c r="AD1164" s="85"/>
      <c r="AE1164" s="85"/>
      <c r="AF1164" s="85"/>
      <c r="AG1164" s="85"/>
      <c r="AH1164" s="85"/>
      <c r="AI1164" s="85"/>
      <c r="AJ1164" s="85"/>
      <c r="AK1164" s="85"/>
    </row>
    <row r="1165" spans="1:37" s="109" customFormat="1" x14ac:dyDescent="0.25">
      <c r="B1165" s="110"/>
      <c r="C1165" s="129"/>
      <c r="D1165" s="109" t="s">
        <v>535</v>
      </c>
      <c r="H1165" s="109" t="s">
        <v>1503</v>
      </c>
      <c r="I1165" s="111">
        <f>SUM(I1166:I1170)</f>
        <v>0</v>
      </c>
      <c r="J1165" s="111">
        <f t="shared" ref="J1165:AK1165" si="182">SUM(J1166:J1170)</f>
        <v>132</v>
      </c>
      <c r="K1165" s="111">
        <f t="shared" si="182"/>
        <v>254</v>
      </c>
      <c r="L1165" s="111">
        <f t="shared" si="182"/>
        <v>145</v>
      </c>
      <c r="M1165" s="111">
        <f t="shared" si="182"/>
        <v>265</v>
      </c>
      <c r="N1165" s="111">
        <f t="shared" si="182"/>
        <v>188</v>
      </c>
      <c r="O1165" s="111">
        <f t="shared" si="182"/>
        <v>218</v>
      </c>
      <c r="P1165" s="111">
        <f t="shared" si="182"/>
        <v>177</v>
      </c>
      <c r="Q1165" s="111">
        <f t="shared" si="182"/>
        <v>134</v>
      </c>
      <c r="R1165" s="111">
        <f t="shared" si="182"/>
        <v>345</v>
      </c>
      <c r="S1165" s="111">
        <f t="shared" si="182"/>
        <v>191</v>
      </c>
      <c r="T1165" s="111">
        <f t="shared" si="182"/>
        <v>155</v>
      </c>
      <c r="U1165" s="111">
        <f t="shared" si="182"/>
        <v>197</v>
      </c>
      <c r="V1165" s="111">
        <f t="shared" si="182"/>
        <v>259</v>
      </c>
      <c r="W1165" s="111">
        <f t="shared" si="182"/>
        <v>263</v>
      </c>
      <c r="X1165" s="111">
        <f t="shared" si="182"/>
        <v>341</v>
      </c>
      <c r="Y1165" s="111">
        <f t="shared" si="182"/>
        <v>0</v>
      </c>
      <c r="Z1165" s="111">
        <f t="shared" si="182"/>
        <v>0</v>
      </c>
      <c r="AA1165" s="111">
        <f t="shared" si="182"/>
        <v>0</v>
      </c>
      <c r="AB1165" s="111">
        <f t="shared" si="182"/>
        <v>0</v>
      </c>
      <c r="AC1165" s="111">
        <f t="shared" si="182"/>
        <v>0</v>
      </c>
      <c r="AD1165" s="111">
        <f t="shared" si="182"/>
        <v>0</v>
      </c>
      <c r="AE1165" s="111">
        <f t="shared" si="182"/>
        <v>0</v>
      </c>
      <c r="AF1165" s="111">
        <f t="shared" si="182"/>
        <v>0</v>
      </c>
      <c r="AG1165" s="111">
        <f t="shared" si="182"/>
        <v>0</v>
      </c>
      <c r="AH1165" s="111">
        <f t="shared" si="182"/>
        <v>0</v>
      </c>
      <c r="AI1165" s="111">
        <f t="shared" si="182"/>
        <v>0</v>
      </c>
      <c r="AJ1165" s="111">
        <f t="shared" si="182"/>
        <v>0</v>
      </c>
      <c r="AK1165" s="111">
        <f t="shared" si="182"/>
        <v>0</v>
      </c>
    </row>
    <row r="1166" spans="1:37" x14ac:dyDescent="0.25">
      <c r="E1166" t="s">
        <v>530</v>
      </c>
      <c r="H1166" t="s">
        <v>1503</v>
      </c>
      <c r="J1166">
        <v>0</v>
      </c>
      <c r="K1166">
        <v>0</v>
      </c>
      <c r="L1166">
        <v>0</v>
      </c>
      <c r="M1166">
        <v>0</v>
      </c>
      <c r="N1166">
        <v>0</v>
      </c>
      <c r="O1166">
        <v>1</v>
      </c>
      <c r="P1166">
        <v>0</v>
      </c>
      <c r="Q1166">
        <v>2</v>
      </c>
      <c r="R1166">
        <v>0</v>
      </c>
      <c r="S1166">
        <v>0</v>
      </c>
      <c r="T1166">
        <v>0</v>
      </c>
      <c r="U1166">
        <v>0</v>
      </c>
      <c r="V1166">
        <v>0</v>
      </c>
      <c r="W1166">
        <v>0</v>
      </c>
      <c r="X1166">
        <v>4</v>
      </c>
      <c r="Y1166" s="115"/>
      <c r="Z1166" s="115"/>
      <c r="AA1166" s="115"/>
      <c r="AB1166" s="115"/>
      <c r="AC1166" s="115"/>
      <c r="AD1166" s="115"/>
      <c r="AE1166" s="115"/>
      <c r="AF1166" s="115"/>
      <c r="AG1166" s="115"/>
      <c r="AH1166" s="115"/>
      <c r="AI1166" s="115"/>
      <c r="AJ1166" s="115"/>
      <c r="AK1166" s="115"/>
    </row>
    <row r="1167" spans="1:37" x14ac:dyDescent="0.25">
      <c r="E1167" t="s">
        <v>531</v>
      </c>
      <c r="H1167" t="s">
        <v>1503</v>
      </c>
      <c r="J1167">
        <v>47</v>
      </c>
      <c r="K1167">
        <v>62</v>
      </c>
      <c r="L1167">
        <v>28</v>
      </c>
      <c r="M1167">
        <v>42</v>
      </c>
      <c r="N1167">
        <v>43</v>
      </c>
      <c r="O1167">
        <v>39</v>
      </c>
      <c r="P1167">
        <v>34</v>
      </c>
      <c r="Q1167">
        <v>29</v>
      </c>
      <c r="R1167">
        <v>59</v>
      </c>
      <c r="S1167">
        <v>37</v>
      </c>
      <c r="T1167">
        <v>36</v>
      </c>
      <c r="U1167">
        <v>46</v>
      </c>
      <c r="V1167">
        <v>29</v>
      </c>
      <c r="W1167">
        <v>25</v>
      </c>
      <c r="X1167">
        <v>48</v>
      </c>
      <c r="Y1167" s="115"/>
      <c r="Z1167" s="115"/>
      <c r="AA1167" s="115"/>
      <c r="AB1167" s="115"/>
      <c r="AC1167" s="115"/>
      <c r="AD1167" s="115"/>
      <c r="AE1167" s="115"/>
      <c r="AF1167" s="115"/>
      <c r="AG1167" s="115"/>
      <c r="AH1167" s="115"/>
      <c r="AI1167" s="115"/>
      <c r="AJ1167" s="115"/>
      <c r="AK1167" s="115"/>
    </row>
    <row r="1168" spans="1:37" x14ac:dyDescent="0.25">
      <c r="E1168" t="s">
        <v>532</v>
      </c>
      <c r="H1168" t="s">
        <v>1503</v>
      </c>
      <c r="J1168">
        <v>12</v>
      </c>
      <c r="K1168">
        <v>21</v>
      </c>
      <c r="L1168">
        <v>17</v>
      </c>
      <c r="M1168">
        <v>22</v>
      </c>
      <c r="N1168">
        <v>21</v>
      </c>
      <c r="O1168">
        <v>24</v>
      </c>
      <c r="P1168">
        <v>18</v>
      </c>
      <c r="Q1168">
        <v>11</v>
      </c>
      <c r="R1168">
        <v>33</v>
      </c>
      <c r="S1168">
        <v>14</v>
      </c>
      <c r="T1168">
        <v>18</v>
      </c>
      <c r="U1168">
        <v>15</v>
      </c>
      <c r="V1168">
        <v>13</v>
      </c>
      <c r="W1168">
        <v>12</v>
      </c>
      <c r="X1168">
        <v>18</v>
      </c>
      <c r="Y1168" s="115"/>
      <c r="Z1168" s="115"/>
      <c r="AA1168" s="115"/>
      <c r="AB1168" s="115"/>
      <c r="AC1168" s="115"/>
      <c r="AD1168" s="115"/>
      <c r="AE1168" s="115"/>
      <c r="AF1168" s="115"/>
      <c r="AG1168" s="115"/>
      <c r="AH1168" s="115"/>
      <c r="AI1168" s="115"/>
      <c r="AJ1168" s="115"/>
      <c r="AK1168" s="115"/>
    </row>
    <row r="1169" spans="1:37" x14ac:dyDescent="0.25">
      <c r="E1169" t="s">
        <v>533</v>
      </c>
      <c r="H1169" t="s">
        <v>1503</v>
      </c>
      <c r="J1169">
        <v>73</v>
      </c>
      <c r="K1169">
        <v>171</v>
      </c>
      <c r="L1169">
        <v>100</v>
      </c>
      <c r="M1169">
        <v>197</v>
      </c>
      <c r="N1169">
        <v>121</v>
      </c>
      <c r="O1169">
        <v>153</v>
      </c>
      <c r="P1169">
        <v>124</v>
      </c>
      <c r="Q1169">
        <v>90</v>
      </c>
      <c r="R1169">
        <v>248</v>
      </c>
      <c r="S1169">
        <v>138</v>
      </c>
      <c r="T1169">
        <v>99</v>
      </c>
      <c r="U1169">
        <v>134</v>
      </c>
      <c r="V1169">
        <v>217</v>
      </c>
      <c r="W1169">
        <v>225</v>
      </c>
      <c r="X1169">
        <v>267</v>
      </c>
      <c r="Y1169" s="115"/>
      <c r="Z1169" s="115"/>
      <c r="AA1169" s="115"/>
      <c r="AB1169" s="115"/>
      <c r="AC1169" s="115"/>
      <c r="AD1169" s="115"/>
      <c r="AE1169" s="115"/>
      <c r="AF1169" s="115"/>
      <c r="AG1169" s="115"/>
      <c r="AH1169" s="115"/>
      <c r="AI1169" s="115"/>
      <c r="AJ1169" s="115"/>
      <c r="AK1169" s="115"/>
    </row>
    <row r="1170" spans="1:37" x14ac:dyDescent="0.25">
      <c r="E1170" t="s">
        <v>534</v>
      </c>
      <c r="H1170" t="s">
        <v>1503</v>
      </c>
      <c r="J1170">
        <v>0</v>
      </c>
      <c r="K1170">
        <v>0</v>
      </c>
      <c r="L1170">
        <v>0</v>
      </c>
      <c r="M1170">
        <v>4</v>
      </c>
      <c r="N1170">
        <v>3</v>
      </c>
      <c r="O1170">
        <v>1</v>
      </c>
      <c r="P1170">
        <v>1</v>
      </c>
      <c r="Q1170">
        <v>2</v>
      </c>
      <c r="R1170">
        <v>5</v>
      </c>
      <c r="S1170">
        <v>2</v>
      </c>
      <c r="T1170">
        <v>2</v>
      </c>
      <c r="U1170">
        <v>2</v>
      </c>
      <c r="V1170">
        <v>0</v>
      </c>
      <c r="W1170">
        <v>1</v>
      </c>
      <c r="X1170">
        <v>4</v>
      </c>
      <c r="Y1170" s="115"/>
      <c r="Z1170" s="115"/>
      <c r="AA1170" s="115"/>
      <c r="AB1170" s="115"/>
      <c r="AC1170" s="115"/>
      <c r="AD1170" s="115"/>
      <c r="AE1170" s="115"/>
      <c r="AF1170" s="115"/>
      <c r="AG1170" s="115"/>
      <c r="AH1170" s="115"/>
      <c r="AI1170" s="115"/>
      <c r="AJ1170" s="115"/>
      <c r="AK1170" s="115"/>
    </row>
    <row r="1171" spans="1:37" s="3" customFormat="1" x14ac:dyDescent="0.25">
      <c r="B1171" s="4"/>
      <c r="J1171" s="73"/>
      <c r="K1171" s="73"/>
      <c r="L1171" s="73"/>
      <c r="M1171" s="73"/>
      <c r="N1171" s="73"/>
    </row>
    <row r="1172" spans="1:37" s="37" customFormat="1" ht="17.25" x14ac:dyDescent="0.3">
      <c r="A1172" s="37" t="s">
        <v>448</v>
      </c>
    </row>
    <row r="1173" spans="1:37" x14ac:dyDescent="0.25">
      <c r="B1173" s="64" t="s">
        <v>31</v>
      </c>
      <c r="C1173" t="s">
        <v>449</v>
      </c>
    </row>
    <row r="1174" spans="1:37" x14ac:dyDescent="0.25">
      <c r="B1174" s="64" t="s">
        <v>32</v>
      </c>
      <c r="C1174" s="195" t="s">
        <v>401</v>
      </c>
    </row>
    <row r="1175" spans="1:37" s="223" customFormat="1" x14ac:dyDescent="0.25">
      <c r="B1175" s="64"/>
      <c r="C1175" s="268" t="s">
        <v>1502</v>
      </c>
    </row>
    <row r="1176" spans="1:37" x14ac:dyDescent="0.25">
      <c r="B1176" s="64" t="s">
        <v>331</v>
      </c>
      <c r="C1176" s="5" t="s">
        <v>527</v>
      </c>
    </row>
    <row r="1177" spans="1:37" x14ac:dyDescent="0.25">
      <c r="B1177" s="64" t="s">
        <v>332</v>
      </c>
      <c r="C1177" t="s">
        <v>525</v>
      </c>
    </row>
    <row r="1178" spans="1:37" s="34" customFormat="1" ht="15.75" thickBot="1" x14ac:dyDescent="0.3">
      <c r="B1178" s="65" t="s">
        <v>334</v>
      </c>
      <c r="C1178" s="34" t="s">
        <v>526</v>
      </c>
    </row>
    <row r="1179" spans="1:37" s="13" customFormat="1" ht="15.75" thickTop="1" x14ac:dyDescent="0.25">
      <c r="B1179" s="14"/>
      <c r="C1179" s="15" t="s">
        <v>451</v>
      </c>
      <c r="H1179" s="13" t="s">
        <v>1288</v>
      </c>
      <c r="I1179" s="62"/>
      <c r="J1179" s="113"/>
      <c r="K1179" s="113"/>
      <c r="L1179" s="113"/>
      <c r="M1179" s="113"/>
      <c r="N1179" s="113">
        <f>SUM(N1181:N1192,N1194:N1205)</f>
        <v>462793490</v>
      </c>
      <c r="O1179" s="113">
        <f t="shared" ref="O1179:AK1179" si="183">SUM(O1181:O1192,O1194:O1205)</f>
        <v>490743341</v>
      </c>
      <c r="P1179" s="113">
        <f t="shared" si="183"/>
        <v>488732400</v>
      </c>
      <c r="Q1179" s="113">
        <f t="shared" si="183"/>
        <v>490718178</v>
      </c>
      <c r="R1179" s="113">
        <f t="shared" si="183"/>
        <v>495233183</v>
      </c>
      <c r="S1179" s="113">
        <f t="shared" si="183"/>
        <v>476834690</v>
      </c>
      <c r="T1179" s="113">
        <f t="shared" si="183"/>
        <v>513432968</v>
      </c>
      <c r="U1179" s="113">
        <f t="shared" si="183"/>
        <v>491460908</v>
      </c>
      <c r="V1179" s="113">
        <f t="shared" si="183"/>
        <v>472200340</v>
      </c>
      <c r="W1179" s="113">
        <f t="shared" si="183"/>
        <v>495687784</v>
      </c>
      <c r="X1179" s="113">
        <f t="shared" si="183"/>
        <v>512415019</v>
      </c>
      <c r="Y1179" s="113">
        <f t="shared" si="183"/>
        <v>459728772</v>
      </c>
      <c r="Z1179" s="113">
        <f t="shared" si="183"/>
        <v>421989597</v>
      </c>
      <c r="AA1179" s="113">
        <f t="shared" si="183"/>
        <v>419371453</v>
      </c>
      <c r="AB1179" s="113">
        <f t="shared" si="183"/>
        <v>0</v>
      </c>
      <c r="AC1179" s="113">
        <f t="shared" si="183"/>
        <v>0</v>
      </c>
      <c r="AD1179" s="113">
        <f t="shared" si="183"/>
        <v>0</v>
      </c>
      <c r="AE1179" s="113">
        <f t="shared" si="183"/>
        <v>0</v>
      </c>
      <c r="AF1179" s="113">
        <f t="shared" si="183"/>
        <v>0</v>
      </c>
      <c r="AG1179" s="113">
        <f t="shared" si="183"/>
        <v>0</v>
      </c>
      <c r="AH1179" s="113">
        <f t="shared" si="183"/>
        <v>0</v>
      </c>
      <c r="AI1179" s="113">
        <f t="shared" si="183"/>
        <v>0</v>
      </c>
      <c r="AJ1179" s="113">
        <f t="shared" si="183"/>
        <v>0</v>
      </c>
      <c r="AK1179" s="113">
        <f t="shared" si="183"/>
        <v>0</v>
      </c>
    </row>
    <row r="1180" spans="1:37" s="109" customFormat="1" x14ac:dyDescent="0.25">
      <c r="B1180" s="110"/>
      <c r="D1180" s="109" t="s">
        <v>452</v>
      </c>
      <c r="H1180" s="109" t="s">
        <v>1288</v>
      </c>
      <c r="I1180" s="111"/>
      <c r="J1180" s="112"/>
      <c r="K1180" s="112"/>
      <c r="L1180" s="112"/>
      <c r="M1180" s="112"/>
      <c r="N1180" s="114">
        <f>SUM(N1181:N1192)</f>
        <v>211291670</v>
      </c>
      <c r="O1180" s="114">
        <f t="shared" ref="O1180:AK1180" si="184">SUM(O1181:O1192)</f>
        <v>222027914</v>
      </c>
      <c r="P1180" s="114">
        <f t="shared" si="184"/>
        <v>217788803</v>
      </c>
      <c r="Q1180" s="114">
        <f t="shared" si="184"/>
        <v>219019578</v>
      </c>
      <c r="R1180" s="114">
        <f t="shared" si="184"/>
        <v>219602921</v>
      </c>
      <c r="S1180" s="114">
        <f t="shared" si="184"/>
        <v>212698074</v>
      </c>
      <c r="T1180" s="114">
        <f t="shared" si="184"/>
        <v>223478932</v>
      </c>
      <c r="U1180" s="114">
        <f t="shared" si="184"/>
        <v>212604848</v>
      </c>
      <c r="V1180" s="114">
        <f t="shared" si="184"/>
        <v>199493753</v>
      </c>
      <c r="W1180" s="114">
        <f t="shared" si="184"/>
        <v>206553515</v>
      </c>
      <c r="X1180" s="114">
        <f t="shared" si="184"/>
        <v>205652469</v>
      </c>
      <c r="Y1180" s="114">
        <f t="shared" si="184"/>
        <v>181938025</v>
      </c>
      <c r="Z1180" s="114">
        <f t="shared" si="184"/>
        <v>157725863</v>
      </c>
      <c r="AA1180" s="114">
        <f t="shared" si="184"/>
        <v>149199971</v>
      </c>
      <c r="AB1180" s="114">
        <f t="shared" si="184"/>
        <v>0</v>
      </c>
      <c r="AC1180" s="114">
        <f t="shared" si="184"/>
        <v>0</v>
      </c>
      <c r="AD1180" s="114">
        <f t="shared" si="184"/>
        <v>0</v>
      </c>
      <c r="AE1180" s="114">
        <f t="shared" si="184"/>
        <v>0</v>
      </c>
      <c r="AF1180" s="114">
        <f t="shared" si="184"/>
        <v>0</v>
      </c>
      <c r="AG1180" s="114">
        <f t="shared" si="184"/>
        <v>0</v>
      </c>
      <c r="AH1180" s="114">
        <f t="shared" si="184"/>
        <v>0</v>
      </c>
      <c r="AI1180" s="114">
        <f t="shared" si="184"/>
        <v>0</v>
      </c>
      <c r="AJ1180" s="114">
        <f t="shared" si="184"/>
        <v>0</v>
      </c>
      <c r="AK1180" s="114">
        <f t="shared" si="184"/>
        <v>0</v>
      </c>
    </row>
    <row r="1181" spans="1:37" x14ac:dyDescent="0.25">
      <c r="E1181" t="s">
        <v>314</v>
      </c>
      <c r="H1181" t="s">
        <v>1288</v>
      </c>
      <c r="I1181" s="59"/>
      <c r="J1181" s="108"/>
      <c r="K1181" s="108"/>
      <c r="L1181" s="108"/>
      <c r="M1181" s="108"/>
      <c r="N1181" s="115">
        <v>20600266</v>
      </c>
      <c r="O1181" s="115">
        <v>22276561</v>
      </c>
      <c r="P1181" s="115">
        <v>23505087</v>
      </c>
      <c r="Q1181" s="115">
        <v>25086716</v>
      </c>
      <c r="R1181" s="115">
        <v>25201082</v>
      </c>
      <c r="S1181" s="115">
        <v>25349056</v>
      </c>
      <c r="T1181" s="115">
        <v>27886927</v>
      </c>
      <c r="U1181" s="115">
        <v>25359796</v>
      </c>
      <c r="V1181" s="115">
        <v>24558465</v>
      </c>
      <c r="W1181" s="115">
        <v>25298454</v>
      </c>
      <c r="X1181" s="115">
        <v>25173973</v>
      </c>
      <c r="Y1181" s="115">
        <v>23985439</v>
      </c>
      <c r="Z1181" s="115">
        <v>18333103</v>
      </c>
      <c r="AA1181" s="115">
        <v>18014476</v>
      </c>
      <c r="AB1181" s="115"/>
      <c r="AC1181" s="115"/>
      <c r="AD1181" s="115"/>
      <c r="AE1181" s="115"/>
      <c r="AF1181" s="115"/>
      <c r="AG1181" s="115"/>
      <c r="AH1181" s="115"/>
      <c r="AI1181" s="115"/>
      <c r="AJ1181" s="115"/>
      <c r="AK1181" s="115"/>
    </row>
    <row r="1182" spans="1:37" x14ac:dyDescent="0.25">
      <c r="E1182" t="s">
        <v>315</v>
      </c>
      <c r="H1182" t="s">
        <v>1288</v>
      </c>
      <c r="I1182" s="59"/>
      <c r="J1182" s="108"/>
      <c r="K1182" s="108"/>
      <c r="L1182" s="108"/>
      <c r="M1182" s="108"/>
      <c r="N1182" s="115">
        <v>23998837</v>
      </c>
      <c r="O1182" s="115">
        <v>23555047</v>
      </c>
      <c r="P1182" s="115">
        <v>22008841</v>
      </c>
      <c r="Q1182" s="115">
        <v>21756431</v>
      </c>
      <c r="R1182" s="115">
        <v>21041025</v>
      </c>
      <c r="S1182" s="115">
        <v>22278281</v>
      </c>
      <c r="T1182" s="115">
        <v>22432368</v>
      </c>
      <c r="U1182" s="115">
        <v>21835607</v>
      </c>
      <c r="V1182" s="115">
        <v>19229254</v>
      </c>
      <c r="W1182" s="115">
        <v>21262319</v>
      </c>
      <c r="X1182" s="115">
        <v>21635127</v>
      </c>
      <c r="Y1182" s="115">
        <v>20510185</v>
      </c>
      <c r="Z1182" s="115">
        <v>16627336</v>
      </c>
      <c r="AA1182" s="115">
        <v>15514114</v>
      </c>
      <c r="AB1182" s="115"/>
      <c r="AC1182" s="115"/>
      <c r="AD1182" s="115"/>
      <c r="AE1182" s="115"/>
      <c r="AF1182" s="115"/>
      <c r="AG1182" s="115"/>
      <c r="AH1182" s="115"/>
      <c r="AI1182" s="115"/>
      <c r="AJ1182" s="115"/>
      <c r="AK1182" s="115"/>
    </row>
    <row r="1183" spans="1:37" x14ac:dyDescent="0.25">
      <c r="E1183" t="s">
        <v>316</v>
      </c>
      <c r="H1183" t="s">
        <v>1288</v>
      </c>
      <c r="I1183" s="59"/>
      <c r="J1183" s="108"/>
      <c r="K1183" s="108"/>
      <c r="L1183" s="108"/>
      <c r="M1183" s="108"/>
      <c r="N1183" s="115">
        <v>21367996</v>
      </c>
      <c r="O1183" s="115">
        <v>22510370</v>
      </c>
      <c r="P1183" s="115">
        <v>20691455</v>
      </c>
      <c r="Q1183" s="115">
        <v>19880576</v>
      </c>
      <c r="R1183" s="115">
        <v>20291937</v>
      </c>
      <c r="S1183" s="115">
        <v>20850353</v>
      </c>
      <c r="T1183" s="115">
        <v>19400344</v>
      </c>
      <c r="U1183" s="115">
        <v>18728417</v>
      </c>
      <c r="V1183" s="115">
        <v>18929928</v>
      </c>
      <c r="W1183" s="115">
        <v>19704974</v>
      </c>
      <c r="X1183" s="115">
        <v>20213147</v>
      </c>
      <c r="Y1183" s="115">
        <v>21545395</v>
      </c>
      <c r="Z1183" s="115">
        <v>15345843</v>
      </c>
      <c r="AA1183" s="115">
        <v>15232056</v>
      </c>
      <c r="AB1183" s="115"/>
      <c r="AC1183" s="115"/>
      <c r="AD1183" s="115"/>
      <c r="AE1183" s="115"/>
      <c r="AF1183" s="115"/>
      <c r="AG1183" s="115"/>
      <c r="AH1183" s="115"/>
      <c r="AI1183" s="115"/>
      <c r="AJ1183" s="115"/>
      <c r="AK1183" s="115"/>
    </row>
    <row r="1184" spans="1:37" x14ac:dyDescent="0.25">
      <c r="E1184" t="s">
        <v>317</v>
      </c>
      <c r="H1184" t="s">
        <v>1288</v>
      </c>
      <c r="N1184" s="115">
        <v>16057274</v>
      </c>
      <c r="O1184" s="115">
        <v>17964657</v>
      </c>
      <c r="P1184" s="115">
        <v>18358593</v>
      </c>
      <c r="Q1184" s="115">
        <v>17589285</v>
      </c>
      <c r="R1184" s="115">
        <v>17092010</v>
      </c>
      <c r="S1184" s="115">
        <v>14898489</v>
      </c>
      <c r="T1184" s="115">
        <v>17069323</v>
      </c>
      <c r="U1184" s="115">
        <v>16246088</v>
      </c>
      <c r="V1184" s="115">
        <v>14817043</v>
      </c>
      <c r="W1184" s="115">
        <v>15917620</v>
      </c>
      <c r="X1184" s="115">
        <v>14555287</v>
      </c>
      <c r="Y1184" s="115">
        <v>16539514</v>
      </c>
      <c r="Z1184" s="115">
        <v>13622547</v>
      </c>
      <c r="AA1184" s="115">
        <v>11456128</v>
      </c>
      <c r="AB1184" s="115"/>
      <c r="AC1184" s="115"/>
      <c r="AD1184" s="115"/>
      <c r="AE1184" s="115"/>
      <c r="AF1184" s="115"/>
      <c r="AG1184" s="115"/>
      <c r="AH1184" s="115"/>
      <c r="AI1184" s="115"/>
      <c r="AJ1184" s="115"/>
      <c r="AK1184" s="115"/>
    </row>
    <row r="1185" spans="2:37" x14ac:dyDescent="0.25">
      <c r="E1185" t="s">
        <v>318</v>
      </c>
      <c r="H1185" t="s">
        <v>1288</v>
      </c>
      <c r="N1185" s="115">
        <v>13670304</v>
      </c>
      <c r="O1185" s="115">
        <v>16974624</v>
      </c>
      <c r="P1185" s="115">
        <v>15375237</v>
      </c>
      <c r="Q1185" s="115">
        <v>15839475</v>
      </c>
      <c r="R1185" s="115">
        <v>15716985</v>
      </c>
      <c r="S1185" s="115">
        <v>13933596</v>
      </c>
      <c r="T1185" s="115">
        <v>15598842</v>
      </c>
      <c r="U1185" s="115">
        <v>15253643</v>
      </c>
      <c r="V1185" s="115">
        <v>13582675</v>
      </c>
      <c r="W1185" s="115">
        <v>13002012</v>
      </c>
      <c r="X1185" s="115">
        <v>13705599</v>
      </c>
      <c r="Y1185" s="115">
        <v>12680498</v>
      </c>
      <c r="Z1185" s="115">
        <v>10509262</v>
      </c>
      <c r="AA1185" s="115">
        <v>8757639</v>
      </c>
      <c r="AB1185" s="115"/>
      <c r="AC1185" s="115"/>
      <c r="AD1185" s="115"/>
      <c r="AE1185" s="115"/>
      <c r="AF1185" s="115"/>
      <c r="AG1185" s="115"/>
      <c r="AH1185" s="115"/>
      <c r="AI1185" s="115"/>
      <c r="AJ1185" s="115"/>
      <c r="AK1185" s="115"/>
    </row>
    <row r="1186" spans="2:37" x14ac:dyDescent="0.25">
      <c r="E1186" t="s">
        <v>319</v>
      </c>
      <c r="H1186" t="s">
        <v>1288</v>
      </c>
      <c r="N1186" s="115">
        <v>16230268</v>
      </c>
      <c r="O1186" s="115">
        <v>18151982</v>
      </c>
      <c r="P1186" s="115">
        <v>15412081</v>
      </c>
      <c r="Q1186" s="115">
        <v>17834987</v>
      </c>
      <c r="R1186" s="115">
        <v>17183844</v>
      </c>
      <c r="S1186" s="115">
        <v>17476701</v>
      </c>
      <c r="T1186" s="115">
        <v>16335640</v>
      </c>
      <c r="U1186" s="115">
        <v>16548914</v>
      </c>
      <c r="V1186" s="115">
        <v>13804711</v>
      </c>
      <c r="W1186" s="115">
        <v>15286894</v>
      </c>
      <c r="X1186" s="115">
        <v>14633103</v>
      </c>
      <c r="Y1186" s="115">
        <v>13949654</v>
      </c>
      <c r="Z1186" s="115">
        <v>10866863</v>
      </c>
      <c r="AA1186" s="115">
        <v>10288612</v>
      </c>
      <c r="AB1186" s="115"/>
      <c r="AC1186" s="115"/>
      <c r="AD1186" s="115"/>
      <c r="AE1186" s="115"/>
      <c r="AF1186" s="115"/>
      <c r="AG1186" s="115"/>
      <c r="AH1186" s="115"/>
      <c r="AI1186" s="115"/>
      <c r="AJ1186" s="115"/>
      <c r="AK1186" s="115"/>
    </row>
    <row r="1187" spans="2:37" x14ac:dyDescent="0.25">
      <c r="E1187" t="s">
        <v>320</v>
      </c>
      <c r="H1187" t="s">
        <v>1288</v>
      </c>
      <c r="N1187" s="115">
        <v>16363874</v>
      </c>
      <c r="O1187" s="115">
        <v>14888265</v>
      </c>
      <c r="P1187" s="115">
        <v>16657522</v>
      </c>
      <c r="Q1187" s="115">
        <v>15925616</v>
      </c>
      <c r="R1187" s="115">
        <v>15025514</v>
      </c>
      <c r="S1187" s="115">
        <v>16542617</v>
      </c>
      <c r="T1187" s="115">
        <v>17103540</v>
      </c>
      <c r="U1187" s="115">
        <v>16783318</v>
      </c>
      <c r="V1187" s="115">
        <v>15234841</v>
      </c>
      <c r="W1187" s="115">
        <v>13848456</v>
      </c>
      <c r="X1187" s="115">
        <v>13824021</v>
      </c>
      <c r="Y1187" s="115">
        <v>11166049</v>
      </c>
      <c r="Z1187" s="115">
        <v>11400533</v>
      </c>
      <c r="AA1187" s="115">
        <v>10397824</v>
      </c>
      <c r="AB1187" s="115"/>
      <c r="AC1187" s="115"/>
      <c r="AD1187" s="115"/>
      <c r="AE1187" s="115"/>
      <c r="AF1187" s="115"/>
      <c r="AG1187" s="115"/>
      <c r="AH1187" s="115"/>
      <c r="AI1187" s="115"/>
      <c r="AJ1187" s="115"/>
      <c r="AK1187" s="115"/>
    </row>
    <row r="1188" spans="2:37" x14ac:dyDescent="0.25">
      <c r="E1188" t="s">
        <v>321</v>
      </c>
      <c r="H1188" t="s">
        <v>1288</v>
      </c>
      <c r="N1188" s="115">
        <v>17160642</v>
      </c>
      <c r="O1188" s="115">
        <v>17179199</v>
      </c>
      <c r="P1188" s="115">
        <v>17033788</v>
      </c>
      <c r="Q1188" s="115">
        <v>16198782</v>
      </c>
      <c r="R1188" s="115">
        <v>18688753</v>
      </c>
      <c r="S1188" s="115">
        <v>17829907</v>
      </c>
      <c r="T1188" s="115">
        <v>18033819</v>
      </c>
      <c r="U1188" s="115">
        <v>17802579</v>
      </c>
      <c r="V1188" s="115">
        <v>14200077</v>
      </c>
      <c r="W1188" s="115">
        <v>15345859</v>
      </c>
      <c r="X1188" s="115">
        <v>15083734</v>
      </c>
      <c r="Y1188" s="115">
        <v>12120430</v>
      </c>
      <c r="Z1188" s="115">
        <v>11317857</v>
      </c>
      <c r="AA1188" s="115">
        <v>10426985</v>
      </c>
      <c r="AB1188" s="115"/>
      <c r="AC1188" s="115"/>
      <c r="AD1188" s="115"/>
      <c r="AE1188" s="115"/>
      <c r="AF1188" s="115"/>
      <c r="AG1188" s="115"/>
      <c r="AH1188" s="115"/>
      <c r="AI1188" s="115"/>
      <c r="AJ1188" s="115"/>
      <c r="AK1188" s="115"/>
    </row>
    <row r="1189" spans="2:37" x14ac:dyDescent="0.25">
      <c r="E1189" t="s">
        <v>322</v>
      </c>
      <c r="H1189" t="s">
        <v>1288</v>
      </c>
      <c r="N1189" s="115">
        <v>16705215</v>
      </c>
      <c r="O1189" s="115">
        <v>17822901</v>
      </c>
      <c r="P1189" s="115">
        <v>17603865</v>
      </c>
      <c r="Q1189" s="115">
        <v>16047289</v>
      </c>
      <c r="R1189" s="115">
        <v>16742065</v>
      </c>
      <c r="S1189" s="115">
        <v>15498242</v>
      </c>
      <c r="T1189" s="115">
        <v>15818273</v>
      </c>
      <c r="U1189" s="115">
        <v>15915611</v>
      </c>
      <c r="V1189" s="115">
        <v>14834593</v>
      </c>
      <c r="W1189" s="115">
        <v>15190855</v>
      </c>
      <c r="X1189" s="115">
        <v>14327203</v>
      </c>
      <c r="Y1189" s="115">
        <v>10399011</v>
      </c>
      <c r="Z1189" s="115">
        <v>10710652</v>
      </c>
      <c r="AA1189" s="115">
        <v>10644489</v>
      </c>
      <c r="AB1189" s="115"/>
      <c r="AC1189" s="115"/>
      <c r="AD1189" s="115"/>
      <c r="AE1189" s="115"/>
      <c r="AF1189" s="115"/>
      <c r="AG1189" s="115"/>
      <c r="AH1189" s="115"/>
      <c r="AI1189" s="115"/>
      <c r="AJ1189" s="115"/>
      <c r="AK1189" s="115"/>
    </row>
    <row r="1190" spans="2:37" x14ac:dyDescent="0.25">
      <c r="E1190" t="s">
        <v>323</v>
      </c>
      <c r="H1190" t="s">
        <v>1288</v>
      </c>
      <c r="N1190" s="115">
        <v>14633588</v>
      </c>
      <c r="O1190" s="115">
        <v>16905014</v>
      </c>
      <c r="P1190" s="115">
        <v>15937080</v>
      </c>
      <c r="Q1190" s="115">
        <v>15756359</v>
      </c>
      <c r="R1190" s="115">
        <v>13855591</v>
      </c>
      <c r="S1190" s="115">
        <v>15011191</v>
      </c>
      <c r="T1190" s="115">
        <v>15284982</v>
      </c>
      <c r="U1190" s="115">
        <v>13246633</v>
      </c>
      <c r="V1190" s="115">
        <v>12461166</v>
      </c>
      <c r="W1190" s="115">
        <v>13310265</v>
      </c>
      <c r="X1190" s="115">
        <v>15237203</v>
      </c>
      <c r="Y1190" s="115">
        <v>11058038</v>
      </c>
      <c r="Z1190" s="115">
        <v>11198850</v>
      </c>
      <c r="AA1190" s="115">
        <v>10622921</v>
      </c>
      <c r="AB1190" s="115"/>
      <c r="AC1190" s="115"/>
      <c r="AD1190" s="115"/>
      <c r="AE1190" s="115"/>
      <c r="AF1190" s="115"/>
      <c r="AG1190" s="115"/>
      <c r="AH1190" s="115"/>
      <c r="AI1190" s="115"/>
      <c r="AJ1190" s="115"/>
      <c r="AK1190" s="115"/>
    </row>
    <row r="1191" spans="2:37" x14ac:dyDescent="0.25">
      <c r="E1191" t="s">
        <v>324</v>
      </c>
      <c r="H1191" t="s">
        <v>1288</v>
      </c>
      <c r="N1191" s="115">
        <v>15227560</v>
      </c>
      <c r="O1191" s="115">
        <v>15573472</v>
      </c>
      <c r="P1191" s="115">
        <v>14651391</v>
      </c>
      <c r="Q1191" s="115">
        <v>15993148</v>
      </c>
      <c r="R1191" s="115">
        <v>16480612</v>
      </c>
      <c r="S1191" s="115">
        <v>15371149</v>
      </c>
      <c r="T1191" s="115">
        <v>17740632</v>
      </c>
      <c r="U1191" s="115">
        <v>15696939</v>
      </c>
      <c r="V1191" s="115">
        <v>16085732</v>
      </c>
      <c r="W1191" s="115">
        <v>14503790</v>
      </c>
      <c r="X1191" s="115">
        <v>17594489</v>
      </c>
      <c r="Y1191" s="115">
        <v>12876136</v>
      </c>
      <c r="Z1191" s="115">
        <v>12540988</v>
      </c>
      <c r="AA1191" s="115">
        <v>11989728</v>
      </c>
      <c r="AB1191" s="115"/>
      <c r="AC1191" s="115"/>
      <c r="AD1191" s="115"/>
      <c r="AE1191" s="115"/>
      <c r="AF1191" s="115"/>
      <c r="AG1191" s="115"/>
      <c r="AH1191" s="115"/>
      <c r="AI1191" s="115"/>
      <c r="AJ1191" s="115"/>
      <c r="AK1191" s="115"/>
    </row>
    <row r="1192" spans="2:37" x14ac:dyDescent="0.25">
      <c r="E1192" t="s">
        <v>325</v>
      </c>
      <c r="H1192" t="s">
        <v>1288</v>
      </c>
      <c r="N1192" s="115">
        <v>19275846</v>
      </c>
      <c r="O1192" s="115">
        <v>18225822</v>
      </c>
      <c r="P1192" s="115">
        <v>20553863</v>
      </c>
      <c r="Q1192" s="115">
        <v>21110914</v>
      </c>
      <c r="R1192" s="115">
        <v>22283503</v>
      </c>
      <c r="S1192" s="115">
        <v>17658492</v>
      </c>
      <c r="T1192" s="115">
        <v>20774242</v>
      </c>
      <c r="U1192" s="115">
        <v>19187303</v>
      </c>
      <c r="V1192" s="115">
        <v>21755268</v>
      </c>
      <c r="W1192" s="115">
        <v>23882017</v>
      </c>
      <c r="X1192" s="115">
        <v>19669583</v>
      </c>
      <c r="Y1192" s="115">
        <v>15107676</v>
      </c>
      <c r="Z1192" s="115">
        <v>15252029</v>
      </c>
      <c r="AA1192" s="115">
        <v>15854999</v>
      </c>
      <c r="AB1192" s="115"/>
      <c r="AC1192" s="115"/>
      <c r="AD1192" s="115"/>
      <c r="AE1192" s="115"/>
      <c r="AF1192" s="115"/>
      <c r="AG1192" s="115"/>
      <c r="AH1192" s="115"/>
      <c r="AI1192" s="115"/>
      <c r="AJ1192" s="115"/>
      <c r="AK1192" s="115"/>
    </row>
    <row r="1193" spans="2:37" s="109" customFormat="1" x14ac:dyDescent="0.25">
      <c r="B1193" s="110"/>
      <c r="D1193" s="109" t="s">
        <v>234</v>
      </c>
      <c r="H1193" s="109" t="s">
        <v>1288</v>
      </c>
      <c r="N1193" s="114">
        <f>SUM(N1194:N1205)</f>
        <v>251501820</v>
      </c>
      <c r="O1193" s="114">
        <f t="shared" ref="O1193:AK1193" si="185">SUM(O1194:O1205)</f>
        <v>268715427</v>
      </c>
      <c r="P1193" s="114">
        <f t="shared" si="185"/>
        <v>270943597</v>
      </c>
      <c r="Q1193" s="114">
        <f t="shared" si="185"/>
        <v>271698600</v>
      </c>
      <c r="R1193" s="114">
        <f t="shared" si="185"/>
        <v>275630262</v>
      </c>
      <c r="S1193" s="114">
        <f t="shared" si="185"/>
        <v>264136616</v>
      </c>
      <c r="T1193" s="114">
        <f t="shared" si="185"/>
        <v>289954036</v>
      </c>
      <c r="U1193" s="114">
        <f t="shared" si="185"/>
        <v>278856060</v>
      </c>
      <c r="V1193" s="114">
        <f t="shared" si="185"/>
        <v>272706587</v>
      </c>
      <c r="W1193" s="114">
        <f t="shared" si="185"/>
        <v>289134269</v>
      </c>
      <c r="X1193" s="114">
        <f t="shared" si="185"/>
        <v>306762550</v>
      </c>
      <c r="Y1193" s="114">
        <f t="shared" si="185"/>
        <v>277790747</v>
      </c>
      <c r="Z1193" s="114">
        <f t="shared" si="185"/>
        <v>264263734</v>
      </c>
      <c r="AA1193" s="114">
        <f t="shared" si="185"/>
        <v>270171482</v>
      </c>
      <c r="AB1193" s="114">
        <f t="shared" si="185"/>
        <v>0</v>
      </c>
      <c r="AC1193" s="114">
        <f t="shared" si="185"/>
        <v>0</v>
      </c>
      <c r="AD1193" s="114">
        <f t="shared" si="185"/>
        <v>0</v>
      </c>
      <c r="AE1193" s="114">
        <f t="shared" si="185"/>
        <v>0</v>
      </c>
      <c r="AF1193" s="114">
        <f t="shared" si="185"/>
        <v>0</v>
      </c>
      <c r="AG1193" s="114">
        <f t="shared" si="185"/>
        <v>0</v>
      </c>
      <c r="AH1193" s="114">
        <f t="shared" si="185"/>
        <v>0</v>
      </c>
      <c r="AI1193" s="114">
        <f t="shared" si="185"/>
        <v>0</v>
      </c>
      <c r="AJ1193" s="114">
        <f t="shared" si="185"/>
        <v>0</v>
      </c>
      <c r="AK1193" s="114">
        <f t="shared" si="185"/>
        <v>0</v>
      </c>
    </row>
    <row r="1194" spans="2:37" x14ac:dyDescent="0.25">
      <c r="E1194" t="s">
        <v>314</v>
      </c>
      <c r="H1194" t="s">
        <v>1288</v>
      </c>
      <c r="N1194" s="115">
        <v>32062697</v>
      </c>
      <c r="O1194" s="115">
        <v>35309050</v>
      </c>
      <c r="P1194" s="115">
        <v>36647922</v>
      </c>
      <c r="Q1194" s="115">
        <v>40243222</v>
      </c>
      <c r="R1194" s="115">
        <v>40120396</v>
      </c>
      <c r="S1194" s="115">
        <v>41550082</v>
      </c>
      <c r="T1194" s="115">
        <v>46781375</v>
      </c>
      <c r="U1194" s="115">
        <v>41882091</v>
      </c>
      <c r="V1194" s="115">
        <v>42566758</v>
      </c>
      <c r="W1194" s="115">
        <v>45878198</v>
      </c>
      <c r="X1194" s="115">
        <v>49719209</v>
      </c>
      <c r="Y1194" s="115">
        <v>43158706</v>
      </c>
      <c r="Z1194" s="115">
        <v>38202763</v>
      </c>
      <c r="AA1194" s="115">
        <v>37514542</v>
      </c>
      <c r="AB1194" s="115"/>
      <c r="AC1194" s="115"/>
      <c r="AD1194" s="115"/>
      <c r="AE1194" s="115"/>
      <c r="AF1194" s="115"/>
      <c r="AG1194" s="115"/>
      <c r="AH1194" s="115"/>
      <c r="AI1194" s="115"/>
      <c r="AJ1194" s="115"/>
      <c r="AK1194" s="115"/>
    </row>
    <row r="1195" spans="2:37" x14ac:dyDescent="0.25">
      <c r="E1195" t="s">
        <v>315</v>
      </c>
      <c r="H1195" t="s">
        <v>1288</v>
      </c>
      <c r="N1195" s="115">
        <v>37857739</v>
      </c>
      <c r="O1195" s="115">
        <v>35276578</v>
      </c>
      <c r="P1195" s="115">
        <v>34735503</v>
      </c>
      <c r="Q1195" s="115">
        <v>34112057</v>
      </c>
      <c r="R1195" s="115">
        <v>33184944</v>
      </c>
      <c r="S1195" s="115">
        <v>36714325</v>
      </c>
      <c r="T1195" s="115">
        <v>36645863</v>
      </c>
      <c r="U1195" s="115">
        <v>36570007</v>
      </c>
      <c r="V1195" s="115">
        <v>32374856</v>
      </c>
      <c r="W1195" s="115">
        <v>37436593</v>
      </c>
      <c r="X1195" s="115">
        <v>40323452</v>
      </c>
      <c r="Y1195" s="115">
        <v>36326613</v>
      </c>
      <c r="Z1195" s="115">
        <v>34030530</v>
      </c>
      <c r="AA1195" s="115">
        <v>32139838</v>
      </c>
      <c r="AB1195" s="115"/>
      <c r="AC1195" s="115"/>
      <c r="AD1195" s="115"/>
      <c r="AE1195" s="115"/>
      <c r="AF1195" s="115"/>
      <c r="AG1195" s="115"/>
      <c r="AH1195" s="115"/>
      <c r="AI1195" s="115"/>
      <c r="AJ1195" s="115"/>
      <c r="AK1195" s="115"/>
    </row>
    <row r="1196" spans="2:37" x14ac:dyDescent="0.25">
      <c r="E1196" t="s">
        <v>316</v>
      </c>
      <c r="H1196" t="s">
        <v>1288</v>
      </c>
      <c r="N1196" s="115">
        <v>30348582</v>
      </c>
      <c r="O1196" s="115">
        <v>32516981</v>
      </c>
      <c r="P1196" s="115">
        <v>29867872</v>
      </c>
      <c r="Q1196" s="115">
        <v>28657426</v>
      </c>
      <c r="R1196" s="115">
        <v>29357839</v>
      </c>
      <c r="S1196" s="115">
        <v>31152381</v>
      </c>
      <c r="T1196" s="115">
        <v>29734397</v>
      </c>
      <c r="U1196" s="115">
        <v>29113555</v>
      </c>
      <c r="V1196" s="115">
        <v>30764222</v>
      </c>
      <c r="W1196" s="115">
        <v>30042586</v>
      </c>
      <c r="X1196" s="115">
        <v>32649954</v>
      </c>
      <c r="Y1196" s="115">
        <v>36830168</v>
      </c>
      <c r="Z1196" s="115">
        <v>30720914</v>
      </c>
      <c r="AA1196" s="115">
        <v>31521490</v>
      </c>
      <c r="AB1196" s="115"/>
      <c r="AC1196" s="115"/>
      <c r="AD1196" s="115"/>
      <c r="AE1196" s="115"/>
      <c r="AF1196" s="115"/>
      <c r="AG1196" s="115"/>
      <c r="AH1196" s="115"/>
      <c r="AI1196" s="115"/>
      <c r="AJ1196" s="115"/>
      <c r="AK1196" s="115"/>
    </row>
    <row r="1197" spans="2:37" x14ac:dyDescent="0.25">
      <c r="E1197" t="s">
        <v>317</v>
      </c>
      <c r="H1197" t="s">
        <v>1288</v>
      </c>
      <c r="N1197" s="115">
        <v>21504367</v>
      </c>
      <c r="O1197" s="115">
        <v>27348515</v>
      </c>
      <c r="P1197" s="115">
        <v>25569642</v>
      </c>
      <c r="Q1197" s="115">
        <v>24420381</v>
      </c>
      <c r="R1197" s="115">
        <v>24019078</v>
      </c>
      <c r="S1197" s="115">
        <v>20952024</v>
      </c>
      <c r="T1197" s="115">
        <v>25144726</v>
      </c>
      <c r="U1197" s="115">
        <v>24687676</v>
      </c>
      <c r="V1197" s="115">
        <v>22354337</v>
      </c>
      <c r="W1197" s="115">
        <v>24673087</v>
      </c>
      <c r="X1197" s="115">
        <v>23121204</v>
      </c>
      <c r="Y1197" s="115">
        <v>28780766</v>
      </c>
      <c r="Z1197" s="115">
        <v>24817123</v>
      </c>
      <c r="AA1197" s="115">
        <v>24732235</v>
      </c>
      <c r="AB1197" s="115"/>
      <c r="AC1197" s="115"/>
      <c r="AD1197" s="115"/>
      <c r="AE1197" s="115"/>
      <c r="AF1197" s="115"/>
      <c r="AG1197" s="115"/>
      <c r="AH1197" s="115"/>
      <c r="AI1197" s="115"/>
      <c r="AJ1197" s="115"/>
      <c r="AK1197" s="115"/>
    </row>
    <row r="1198" spans="2:37" x14ac:dyDescent="0.25">
      <c r="E1198" t="s">
        <v>318</v>
      </c>
      <c r="H1198" t="s">
        <v>1288</v>
      </c>
      <c r="N1198" s="115">
        <v>16184618</v>
      </c>
      <c r="O1198" s="115">
        <v>20835366</v>
      </c>
      <c r="P1198" s="115">
        <v>19302727</v>
      </c>
      <c r="Q1198" s="115">
        <v>19567395</v>
      </c>
      <c r="R1198" s="115">
        <v>20908125</v>
      </c>
      <c r="S1198" s="115">
        <v>16329039</v>
      </c>
      <c r="T1198" s="115">
        <v>19775391</v>
      </c>
      <c r="U1198" s="115">
        <v>19915988</v>
      </c>
      <c r="V1198" s="115">
        <v>17050021</v>
      </c>
      <c r="W1198" s="115">
        <v>17620561</v>
      </c>
      <c r="X1198" s="115">
        <v>19892037</v>
      </c>
      <c r="Y1198" s="115">
        <v>17931547</v>
      </c>
      <c r="Z1198" s="115">
        <v>16530521</v>
      </c>
      <c r="AA1198" s="115">
        <v>17754111</v>
      </c>
      <c r="AB1198" s="115"/>
      <c r="AC1198" s="115"/>
      <c r="AD1198" s="115"/>
      <c r="AE1198" s="115"/>
      <c r="AF1198" s="115"/>
      <c r="AG1198" s="115"/>
      <c r="AH1198" s="115"/>
      <c r="AI1198" s="115"/>
      <c r="AJ1198" s="115"/>
      <c r="AK1198" s="115"/>
    </row>
    <row r="1199" spans="2:37" x14ac:dyDescent="0.25">
      <c r="E1199" t="s">
        <v>319</v>
      </c>
      <c r="H1199" t="s">
        <v>1288</v>
      </c>
      <c r="N1199" s="115">
        <v>14370875</v>
      </c>
      <c r="O1199" s="115">
        <v>17786539</v>
      </c>
      <c r="P1199" s="115">
        <v>15089049</v>
      </c>
      <c r="Q1199" s="115">
        <v>17783675</v>
      </c>
      <c r="R1199" s="115">
        <v>17065588</v>
      </c>
      <c r="S1199" s="115">
        <v>15891317</v>
      </c>
      <c r="T1199" s="115">
        <v>14449633</v>
      </c>
      <c r="U1199" s="115">
        <v>14470773</v>
      </c>
      <c r="V1199" s="115">
        <v>14640903</v>
      </c>
      <c r="W1199" s="115">
        <v>15870074</v>
      </c>
      <c r="X1199" s="115">
        <v>16200045</v>
      </c>
      <c r="Y1199" s="115">
        <v>15490051</v>
      </c>
      <c r="Z1199" s="115">
        <v>14101459</v>
      </c>
      <c r="AA1199" s="115">
        <v>15113421</v>
      </c>
      <c r="AB1199" s="115"/>
      <c r="AC1199" s="115"/>
      <c r="AD1199" s="115"/>
      <c r="AE1199" s="115"/>
      <c r="AF1199" s="115"/>
      <c r="AG1199" s="115"/>
      <c r="AH1199" s="115"/>
      <c r="AI1199" s="115"/>
      <c r="AJ1199" s="115"/>
      <c r="AK1199" s="115"/>
    </row>
    <row r="1200" spans="2:37" x14ac:dyDescent="0.25">
      <c r="E1200" t="s">
        <v>320</v>
      </c>
      <c r="H1200" t="s">
        <v>1288</v>
      </c>
      <c r="N1200" s="115">
        <v>12645373</v>
      </c>
      <c r="O1200" s="115">
        <v>13021143</v>
      </c>
      <c r="P1200" s="115">
        <v>13497775</v>
      </c>
      <c r="Q1200" s="115">
        <v>13218106</v>
      </c>
      <c r="R1200" s="115">
        <v>12843642</v>
      </c>
      <c r="S1200" s="115">
        <v>12911312</v>
      </c>
      <c r="T1200" s="115">
        <v>13193147</v>
      </c>
      <c r="U1200" s="115">
        <v>13774010</v>
      </c>
      <c r="V1200" s="115">
        <v>13192130</v>
      </c>
      <c r="W1200" s="115">
        <v>12686333</v>
      </c>
      <c r="X1200" s="115">
        <v>13574048</v>
      </c>
      <c r="Y1200" s="115">
        <v>11133337</v>
      </c>
      <c r="Z1200" s="115">
        <v>12197525</v>
      </c>
      <c r="AA1200" s="115">
        <v>12837069</v>
      </c>
      <c r="AB1200" s="115"/>
      <c r="AC1200" s="115"/>
      <c r="AD1200" s="115"/>
      <c r="AE1200" s="115"/>
      <c r="AF1200" s="115"/>
      <c r="AG1200" s="115"/>
      <c r="AH1200" s="115"/>
      <c r="AI1200" s="115"/>
      <c r="AJ1200" s="115"/>
      <c r="AK1200" s="115"/>
    </row>
    <row r="1201" spans="2:37" x14ac:dyDescent="0.25">
      <c r="E1201" t="s">
        <v>321</v>
      </c>
      <c r="H1201" t="s">
        <v>1288</v>
      </c>
      <c r="N1201" s="115">
        <v>12324751</v>
      </c>
      <c r="O1201" s="115">
        <v>12328898</v>
      </c>
      <c r="P1201" s="115">
        <v>12874097</v>
      </c>
      <c r="Q1201" s="115">
        <v>13007152</v>
      </c>
      <c r="R1201" s="115">
        <v>14103772</v>
      </c>
      <c r="S1201" s="115">
        <v>13179106</v>
      </c>
      <c r="T1201" s="115">
        <v>13658259</v>
      </c>
      <c r="U1201" s="115">
        <v>14350322</v>
      </c>
      <c r="V1201" s="115">
        <v>13448125</v>
      </c>
      <c r="W1201" s="115">
        <v>14174784</v>
      </c>
      <c r="X1201" s="115">
        <v>14389333</v>
      </c>
      <c r="Y1201" s="115">
        <v>11311916</v>
      </c>
      <c r="Z1201" s="115">
        <v>11142853</v>
      </c>
      <c r="AA1201" s="115">
        <v>11846726</v>
      </c>
      <c r="AB1201" s="115"/>
      <c r="AC1201" s="115"/>
      <c r="AD1201" s="115"/>
      <c r="AE1201" s="115"/>
      <c r="AF1201" s="115"/>
      <c r="AG1201" s="115"/>
      <c r="AH1201" s="115"/>
      <c r="AI1201" s="115"/>
      <c r="AJ1201" s="115"/>
      <c r="AK1201" s="115"/>
    </row>
    <row r="1202" spans="2:37" x14ac:dyDescent="0.25">
      <c r="E1202" t="s">
        <v>322</v>
      </c>
      <c r="H1202" t="s">
        <v>1288</v>
      </c>
      <c r="N1202" s="115">
        <v>12524503</v>
      </c>
      <c r="O1202" s="115">
        <v>13513959</v>
      </c>
      <c r="P1202" s="115">
        <v>13338441</v>
      </c>
      <c r="Q1202" s="115">
        <v>13343072</v>
      </c>
      <c r="R1202" s="115">
        <v>13226671</v>
      </c>
      <c r="S1202" s="115">
        <v>12686669</v>
      </c>
      <c r="T1202" s="115">
        <v>12734156</v>
      </c>
      <c r="U1202" s="115">
        <v>14269604</v>
      </c>
      <c r="V1202" s="115">
        <v>14397170</v>
      </c>
      <c r="W1202" s="115">
        <v>14790548</v>
      </c>
      <c r="X1202" s="115">
        <v>14450000</v>
      </c>
      <c r="Y1202" s="115">
        <v>10931942</v>
      </c>
      <c r="Z1202" s="115">
        <v>11812521</v>
      </c>
      <c r="AA1202" s="115">
        <v>13106942</v>
      </c>
      <c r="AB1202" s="115"/>
      <c r="AC1202" s="115"/>
      <c r="AD1202" s="115"/>
      <c r="AE1202" s="115"/>
      <c r="AF1202" s="115"/>
      <c r="AG1202" s="115"/>
      <c r="AH1202" s="115"/>
      <c r="AI1202" s="115"/>
      <c r="AJ1202" s="115"/>
      <c r="AK1202" s="115"/>
    </row>
    <row r="1203" spans="2:37" x14ac:dyDescent="0.25">
      <c r="E1203" t="s">
        <v>323</v>
      </c>
      <c r="H1203" t="s">
        <v>1288</v>
      </c>
      <c r="N1203" s="115">
        <v>15358168</v>
      </c>
      <c r="O1203" s="115">
        <v>14910535</v>
      </c>
      <c r="P1203" s="115">
        <v>16624732</v>
      </c>
      <c r="Q1203" s="115">
        <v>15187137</v>
      </c>
      <c r="R1203" s="115">
        <v>14481988</v>
      </c>
      <c r="S1203" s="115">
        <v>15330037</v>
      </c>
      <c r="T1203" s="115">
        <v>18281667</v>
      </c>
      <c r="U1203" s="115">
        <v>15124082</v>
      </c>
      <c r="V1203" s="115">
        <v>13397894</v>
      </c>
      <c r="W1203" s="115">
        <v>17370836</v>
      </c>
      <c r="X1203" s="115">
        <v>22516818</v>
      </c>
      <c r="Y1203" s="115">
        <v>14163175</v>
      </c>
      <c r="Z1203" s="115">
        <v>17118008</v>
      </c>
      <c r="AA1203" s="115">
        <v>14627362</v>
      </c>
      <c r="AB1203" s="115"/>
      <c r="AC1203" s="115"/>
      <c r="AD1203" s="115"/>
      <c r="AE1203" s="115"/>
      <c r="AF1203" s="115"/>
      <c r="AG1203" s="115"/>
      <c r="AH1203" s="115"/>
      <c r="AI1203" s="115"/>
      <c r="AJ1203" s="115"/>
      <c r="AK1203" s="115"/>
    </row>
    <row r="1204" spans="2:37" x14ac:dyDescent="0.25">
      <c r="E1204" t="s">
        <v>324</v>
      </c>
      <c r="H1204" t="s">
        <v>1288</v>
      </c>
      <c r="N1204" s="115">
        <v>18779367</v>
      </c>
      <c r="O1204" s="115">
        <v>18641925</v>
      </c>
      <c r="P1204" s="115">
        <v>21172428</v>
      </c>
      <c r="Q1204" s="115">
        <v>20526362</v>
      </c>
      <c r="R1204" s="115">
        <v>22465548</v>
      </c>
      <c r="S1204" s="115">
        <v>20981922</v>
      </c>
      <c r="T1204" s="115">
        <v>25523309</v>
      </c>
      <c r="U1204" s="115">
        <v>24429336</v>
      </c>
      <c r="V1204" s="115">
        <v>23548556</v>
      </c>
      <c r="W1204" s="115">
        <v>22216655</v>
      </c>
      <c r="X1204" s="115">
        <v>27221204</v>
      </c>
      <c r="Y1204" s="115">
        <v>21709088</v>
      </c>
      <c r="Z1204" s="115">
        <v>24280705</v>
      </c>
      <c r="AA1204" s="115">
        <v>23130159</v>
      </c>
      <c r="AB1204" s="115"/>
      <c r="AC1204" s="115"/>
      <c r="AD1204" s="115"/>
      <c r="AE1204" s="115"/>
      <c r="AF1204" s="115"/>
      <c r="AG1204" s="115"/>
      <c r="AH1204" s="115"/>
      <c r="AI1204" s="115"/>
      <c r="AJ1204" s="115"/>
      <c r="AK1204" s="115"/>
    </row>
    <row r="1205" spans="2:37" x14ac:dyDescent="0.25">
      <c r="E1205" t="s">
        <v>325</v>
      </c>
      <c r="H1205" t="s">
        <v>1288</v>
      </c>
      <c r="N1205" s="115">
        <v>27540780</v>
      </c>
      <c r="O1205" s="115">
        <v>27225938</v>
      </c>
      <c r="P1205" s="115">
        <v>32223409</v>
      </c>
      <c r="Q1205" s="115">
        <v>31632615</v>
      </c>
      <c r="R1205" s="115">
        <v>33852671</v>
      </c>
      <c r="S1205" s="115">
        <v>26458402</v>
      </c>
      <c r="T1205" s="115">
        <v>34032113</v>
      </c>
      <c r="U1205" s="115">
        <v>30268616</v>
      </c>
      <c r="V1205" s="115">
        <v>34971615</v>
      </c>
      <c r="W1205" s="115">
        <v>36374014</v>
      </c>
      <c r="X1205" s="115">
        <v>32705246</v>
      </c>
      <c r="Y1205" s="115">
        <v>30023438</v>
      </c>
      <c r="Z1205" s="115">
        <v>29308812</v>
      </c>
      <c r="AA1205" s="115">
        <v>35847587</v>
      </c>
      <c r="AB1205" s="115"/>
      <c r="AC1205" s="115"/>
      <c r="AD1205" s="115"/>
      <c r="AE1205" s="115"/>
      <c r="AF1205" s="115"/>
      <c r="AG1205" s="115"/>
      <c r="AH1205" s="115"/>
      <c r="AI1205" s="115"/>
      <c r="AJ1205" s="115"/>
      <c r="AK1205" s="115"/>
    </row>
    <row r="1206" spans="2:37" s="13" customFormat="1" x14ac:dyDescent="0.25">
      <c r="B1206" s="14"/>
      <c r="C1206" s="13" t="s">
        <v>453</v>
      </c>
      <c r="H1206" s="13" t="s">
        <v>1293</v>
      </c>
      <c r="I1206" s="62"/>
      <c r="J1206" s="107"/>
      <c r="K1206" s="107"/>
      <c r="L1206" s="107"/>
      <c r="M1206" s="107"/>
      <c r="N1206" s="113">
        <f>SUM(N1208:N1219,N1221:N1232)</f>
        <v>4169576</v>
      </c>
      <c r="O1206" s="113">
        <f t="shared" ref="O1206:AK1206" si="186">SUM(O1208:O1219,O1221:O1232)</f>
        <v>4687337</v>
      </c>
      <c r="P1206" s="113">
        <f t="shared" si="186"/>
        <v>4605026</v>
      </c>
      <c r="Q1206" s="113">
        <f t="shared" si="186"/>
        <v>5049394</v>
      </c>
      <c r="R1206" s="113">
        <f t="shared" si="186"/>
        <v>4888806</v>
      </c>
      <c r="S1206" s="113">
        <f t="shared" si="186"/>
        <v>4678469</v>
      </c>
      <c r="T1206" s="113">
        <f t="shared" si="186"/>
        <v>5175703</v>
      </c>
      <c r="U1206" s="113">
        <f t="shared" si="186"/>
        <v>5261227</v>
      </c>
      <c r="V1206" s="113">
        <f t="shared" si="186"/>
        <v>6338640</v>
      </c>
      <c r="W1206" s="113">
        <f t="shared" si="186"/>
        <v>7069573</v>
      </c>
      <c r="X1206" s="113">
        <f t="shared" si="186"/>
        <v>7567596</v>
      </c>
      <c r="Y1206" s="113">
        <f t="shared" si="186"/>
        <v>7752766</v>
      </c>
      <c r="Z1206" s="113">
        <f t="shared" si="186"/>
        <v>8397722</v>
      </c>
      <c r="AA1206" s="113">
        <f t="shared" si="186"/>
        <v>8123773</v>
      </c>
      <c r="AB1206" s="113">
        <f t="shared" si="186"/>
        <v>0</v>
      </c>
      <c r="AC1206" s="113">
        <f t="shared" si="186"/>
        <v>0</v>
      </c>
      <c r="AD1206" s="113">
        <f t="shared" si="186"/>
        <v>0</v>
      </c>
      <c r="AE1206" s="113">
        <f t="shared" si="186"/>
        <v>0</v>
      </c>
      <c r="AF1206" s="113">
        <f t="shared" si="186"/>
        <v>0</v>
      </c>
      <c r="AG1206" s="113">
        <f t="shared" si="186"/>
        <v>0</v>
      </c>
      <c r="AH1206" s="113">
        <f t="shared" si="186"/>
        <v>0</v>
      </c>
      <c r="AI1206" s="113">
        <f t="shared" si="186"/>
        <v>0</v>
      </c>
      <c r="AJ1206" s="113">
        <f t="shared" si="186"/>
        <v>0</v>
      </c>
      <c r="AK1206" s="113">
        <f t="shared" si="186"/>
        <v>0</v>
      </c>
    </row>
    <row r="1207" spans="2:37" s="109" customFormat="1" x14ac:dyDescent="0.25">
      <c r="B1207" s="110"/>
      <c r="D1207" s="109" t="s">
        <v>452</v>
      </c>
      <c r="H1207" s="109" t="s">
        <v>1293</v>
      </c>
      <c r="I1207" s="111"/>
      <c r="J1207" s="112"/>
      <c r="K1207" s="112"/>
      <c r="L1207" s="112"/>
      <c r="M1207" s="112"/>
      <c r="N1207" s="114">
        <f>SUM(N1208:N1219)</f>
        <v>2905372</v>
      </c>
      <c r="O1207" s="114">
        <f t="shared" ref="O1207:AK1207" si="187">SUM(O1208:O1219)</f>
        <v>3168433</v>
      </c>
      <c r="P1207" s="114">
        <f t="shared" si="187"/>
        <v>3135914</v>
      </c>
      <c r="Q1207" s="114">
        <f t="shared" si="187"/>
        <v>3360172</v>
      </c>
      <c r="R1207" s="114">
        <f t="shared" si="187"/>
        <v>3245324</v>
      </c>
      <c r="S1207" s="114">
        <f t="shared" si="187"/>
        <v>3142594</v>
      </c>
      <c r="T1207" s="114">
        <f t="shared" si="187"/>
        <v>3419308</v>
      </c>
      <c r="U1207" s="114">
        <f t="shared" si="187"/>
        <v>3620535</v>
      </c>
      <c r="V1207" s="114">
        <f t="shared" si="187"/>
        <v>4671614</v>
      </c>
      <c r="W1207" s="114">
        <f t="shared" si="187"/>
        <v>5188658</v>
      </c>
      <c r="X1207" s="114">
        <f t="shared" si="187"/>
        <v>5422561</v>
      </c>
      <c r="Y1207" s="114">
        <f t="shared" si="187"/>
        <v>5557336</v>
      </c>
      <c r="Z1207" s="114">
        <f t="shared" si="187"/>
        <v>5867382</v>
      </c>
      <c r="AA1207" s="114">
        <f t="shared" si="187"/>
        <v>5476060</v>
      </c>
      <c r="AB1207" s="114">
        <f t="shared" si="187"/>
        <v>0</v>
      </c>
      <c r="AC1207" s="114">
        <f t="shared" si="187"/>
        <v>0</v>
      </c>
      <c r="AD1207" s="114">
        <f t="shared" si="187"/>
        <v>0</v>
      </c>
      <c r="AE1207" s="114">
        <f t="shared" si="187"/>
        <v>0</v>
      </c>
      <c r="AF1207" s="114">
        <f t="shared" si="187"/>
        <v>0</v>
      </c>
      <c r="AG1207" s="114">
        <f t="shared" si="187"/>
        <v>0</v>
      </c>
      <c r="AH1207" s="114">
        <f t="shared" si="187"/>
        <v>0</v>
      </c>
      <c r="AI1207" s="114">
        <f t="shared" si="187"/>
        <v>0</v>
      </c>
      <c r="AJ1207" s="114">
        <f t="shared" si="187"/>
        <v>0</v>
      </c>
      <c r="AK1207" s="114">
        <f t="shared" si="187"/>
        <v>0</v>
      </c>
    </row>
    <row r="1208" spans="2:37" x14ac:dyDescent="0.25">
      <c r="E1208" t="s">
        <v>314</v>
      </c>
      <c r="H1208" t="s">
        <v>1293</v>
      </c>
      <c r="I1208" s="59"/>
      <c r="J1208" s="108"/>
      <c r="K1208" s="108"/>
      <c r="L1208" s="108"/>
      <c r="M1208" s="108"/>
      <c r="N1208" s="115">
        <v>358270</v>
      </c>
      <c r="O1208" s="115">
        <v>394524</v>
      </c>
      <c r="P1208" s="115">
        <v>383815</v>
      </c>
      <c r="Q1208" s="115">
        <v>433654</v>
      </c>
      <c r="R1208" s="115">
        <v>423415</v>
      </c>
      <c r="S1208" s="115">
        <v>481709</v>
      </c>
      <c r="T1208" s="115">
        <v>526724</v>
      </c>
      <c r="U1208" s="115">
        <v>500670</v>
      </c>
      <c r="V1208" s="115">
        <v>682633</v>
      </c>
      <c r="W1208" s="115">
        <v>854981</v>
      </c>
      <c r="X1208" s="115">
        <v>854106</v>
      </c>
      <c r="Y1208" s="115">
        <v>738639</v>
      </c>
      <c r="Z1208" s="115">
        <v>856399</v>
      </c>
      <c r="AA1208" s="115">
        <v>863529</v>
      </c>
      <c r="AB1208" s="115"/>
      <c r="AC1208" s="115"/>
      <c r="AD1208" s="115"/>
      <c r="AE1208" s="115"/>
      <c r="AF1208" s="115"/>
      <c r="AG1208" s="115"/>
      <c r="AH1208" s="115"/>
      <c r="AI1208" s="115"/>
      <c r="AJ1208" s="115"/>
      <c r="AK1208" s="115"/>
    </row>
    <row r="1209" spans="2:37" x14ac:dyDescent="0.25">
      <c r="E1209" t="s">
        <v>315</v>
      </c>
      <c r="H1209" t="s">
        <v>1293</v>
      </c>
      <c r="I1209" s="59"/>
      <c r="J1209" s="108"/>
      <c r="K1209" s="108"/>
      <c r="L1209" s="108"/>
      <c r="M1209" s="108"/>
      <c r="N1209" s="115">
        <v>430867</v>
      </c>
      <c r="O1209" s="115">
        <v>449356</v>
      </c>
      <c r="P1209" s="115">
        <v>423509</v>
      </c>
      <c r="Q1209" s="115">
        <v>436574</v>
      </c>
      <c r="R1209" s="115">
        <v>403473</v>
      </c>
      <c r="S1209" s="115">
        <v>422895</v>
      </c>
      <c r="T1209" s="115">
        <v>440459</v>
      </c>
      <c r="U1209" s="115">
        <v>445486</v>
      </c>
      <c r="V1209" s="115">
        <v>507559</v>
      </c>
      <c r="W1209" s="115">
        <v>641262</v>
      </c>
      <c r="X1209" s="115">
        <v>697420</v>
      </c>
      <c r="Y1209" s="115">
        <v>631042</v>
      </c>
      <c r="Z1209" s="115">
        <v>754825</v>
      </c>
      <c r="AA1209" s="115">
        <v>747325</v>
      </c>
      <c r="AB1209" s="115"/>
      <c r="AC1209" s="115"/>
      <c r="AD1209" s="115"/>
      <c r="AE1209" s="115"/>
      <c r="AF1209" s="115"/>
      <c r="AG1209" s="115"/>
      <c r="AH1209" s="115"/>
      <c r="AI1209" s="115"/>
      <c r="AJ1209" s="115"/>
      <c r="AK1209" s="115"/>
    </row>
    <row r="1210" spans="2:37" x14ac:dyDescent="0.25">
      <c r="E1210" t="s">
        <v>316</v>
      </c>
      <c r="H1210" t="s">
        <v>1293</v>
      </c>
      <c r="I1210" s="59"/>
      <c r="J1210" s="108"/>
      <c r="K1210" s="108"/>
      <c r="L1210" s="108"/>
      <c r="M1210" s="108"/>
      <c r="N1210" s="115">
        <v>376983</v>
      </c>
      <c r="O1210" s="115">
        <v>407806</v>
      </c>
      <c r="P1210" s="115">
        <v>366749</v>
      </c>
      <c r="Q1210" s="115">
        <v>362738</v>
      </c>
      <c r="R1210" s="115">
        <v>338180</v>
      </c>
      <c r="S1210" s="115">
        <v>379053</v>
      </c>
      <c r="T1210" s="115">
        <v>350549</v>
      </c>
      <c r="U1210" s="115">
        <v>364768</v>
      </c>
      <c r="V1210" s="115">
        <v>495019</v>
      </c>
      <c r="W1210" s="115">
        <v>547346</v>
      </c>
      <c r="X1210" s="115">
        <v>602174</v>
      </c>
      <c r="Y1210" s="115">
        <v>688775</v>
      </c>
      <c r="Z1210" s="115">
        <v>693141</v>
      </c>
      <c r="AA1210" s="115">
        <v>655879</v>
      </c>
      <c r="AB1210" s="115"/>
      <c r="AC1210" s="115"/>
      <c r="AD1210" s="115"/>
      <c r="AE1210" s="115"/>
      <c r="AF1210" s="115"/>
      <c r="AG1210" s="115"/>
      <c r="AH1210" s="115"/>
      <c r="AI1210" s="115"/>
      <c r="AJ1210" s="115"/>
      <c r="AK1210" s="115"/>
    </row>
    <row r="1211" spans="2:37" x14ac:dyDescent="0.25">
      <c r="E1211" t="s">
        <v>317</v>
      </c>
      <c r="H1211" t="s">
        <v>1293</v>
      </c>
      <c r="N1211" s="115">
        <v>253466</v>
      </c>
      <c r="O1211" s="115">
        <v>331275</v>
      </c>
      <c r="P1211" s="115">
        <v>335644</v>
      </c>
      <c r="Q1211" s="115">
        <v>310275</v>
      </c>
      <c r="R1211" s="115">
        <v>279533</v>
      </c>
      <c r="S1211" s="115">
        <v>237637</v>
      </c>
      <c r="T1211" s="115">
        <v>304790</v>
      </c>
      <c r="U1211" s="115">
        <v>292786</v>
      </c>
      <c r="V1211" s="115">
        <v>352739</v>
      </c>
      <c r="W1211" s="115">
        <v>405817</v>
      </c>
      <c r="X1211" s="115">
        <v>393165</v>
      </c>
      <c r="Y1211" s="115">
        <v>475738</v>
      </c>
      <c r="Z1211" s="115">
        <v>530468</v>
      </c>
      <c r="AA1211" s="115">
        <v>386729</v>
      </c>
      <c r="AB1211" s="115"/>
      <c r="AC1211" s="115"/>
      <c r="AD1211" s="115"/>
      <c r="AE1211" s="115"/>
      <c r="AF1211" s="115"/>
      <c r="AG1211" s="115"/>
      <c r="AH1211" s="115"/>
      <c r="AI1211" s="115"/>
      <c r="AJ1211" s="115"/>
      <c r="AK1211" s="115"/>
    </row>
    <row r="1212" spans="2:37" x14ac:dyDescent="0.25">
      <c r="E1212" t="s">
        <v>318</v>
      </c>
      <c r="H1212" t="s">
        <v>1293</v>
      </c>
      <c r="N1212" s="115">
        <v>187425</v>
      </c>
      <c r="O1212" s="115">
        <v>258178</v>
      </c>
      <c r="P1212" s="115">
        <v>251881</v>
      </c>
      <c r="Q1212" s="115">
        <v>244729</v>
      </c>
      <c r="R1212" s="115">
        <v>243271</v>
      </c>
      <c r="S1212" s="115">
        <v>182686</v>
      </c>
      <c r="T1212" s="115">
        <v>216531</v>
      </c>
      <c r="U1212" s="115">
        <v>226187</v>
      </c>
      <c r="V1212" s="115">
        <v>282931</v>
      </c>
      <c r="W1212" s="115">
        <v>289169</v>
      </c>
      <c r="X1212" s="115">
        <v>321797</v>
      </c>
      <c r="Y1212" s="115">
        <v>284501</v>
      </c>
      <c r="Z1212" s="115">
        <v>320312</v>
      </c>
      <c r="AA1212" s="115">
        <v>224648</v>
      </c>
      <c r="AB1212" s="115"/>
      <c r="AC1212" s="115"/>
      <c r="AD1212" s="115"/>
      <c r="AE1212" s="115"/>
      <c r="AF1212" s="115"/>
      <c r="AG1212" s="115"/>
      <c r="AH1212" s="115"/>
      <c r="AI1212" s="115"/>
      <c r="AJ1212" s="115"/>
      <c r="AK1212" s="115"/>
    </row>
    <row r="1213" spans="2:37" x14ac:dyDescent="0.25">
      <c r="E1213" t="s">
        <v>319</v>
      </c>
      <c r="H1213" t="s">
        <v>1293</v>
      </c>
      <c r="N1213" s="115">
        <v>170298</v>
      </c>
      <c r="O1213" s="115">
        <v>211725</v>
      </c>
      <c r="P1213" s="115">
        <v>166602</v>
      </c>
      <c r="Q1213" s="115">
        <v>210267</v>
      </c>
      <c r="R1213" s="115">
        <v>210348</v>
      </c>
      <c r="S1213" s="115">
        <v>213781</v>
      </c>
      <c r="T1213" s="115">
        <v>186162</v>
      </c>
      <c r="U1213" s="115">
        <v>202266</v>
      </c>
      <c r="V1213" s="115">
        <v>271885</v>
      </c>
      <c r="W1213" s="115">
        <v>312313</v>
      </c>
      <c r="X1213" s="115">
        <v>313689</v>
      </c>
      <c r="Y1213" s="115">
        <v>301315</v>
      </c>
      <c r="Z1213" s="115">
        <v>342048</v>
      </c>
      <c r="AA1213" s="115">
        <v>249893</v>
      </c>
      <c r="AB1213" s="115"/>
      <c r="AC1213" s="115"/>
      <c r="AD1213" s="115"/>
      <c r="AE1213" s="115"/>
      <c r="AF1213" s="115"/>
      <c r="AG1213" s="115"/>
      <c r="AH1213" s="115"/>
      <c r="AI1213" s="115"/>
      <c r="AJ1213" s="115"/>
      <c r="AK1213" s="115"/>
    </row>
    <row r="1214" spans="2:37" x14ac:dyDescent="0.25">
      <c r="E1214" t="s">
        <v>320</v>
      </c>
      <c r="H1214" t="s">
        <v>1293</v>
      </c>
      <c r="N1214" s="115">
        <v>158984</v>
      </c>
      <c r="O1214" s="115">
        <v>153474</v>
      </c>
      <c r="P1214" s="115">
        <v>193505</v>
      </c>
      <c r="Q1214" s="115">
        <v>187684</v>
      </c>
      <c r="R1214" s="115">
        <v>174338</v>
      </c>
      <c r="S1214" s="115">
        <v>176327</v>
      </c>
      <c r="T1214" s="115">
        <v>155896</v>
      </c>
      <c r="U1214" s="115">
        <v>190834</v>
      </c>
      <c r="V1214" s="115">
        <v>270370</v>
      </c>
      <c r="W1214" s="115">
        <v>247314</v>
      </c>
      <c r="X1214" s="115">
        <v>270395</v>
      </c>
      <c r="Y1214" s="115">
        <v>293892</v>
      </c>
      <c r="Z1214" s="115">
        <v>314214</v>
      </c>
      <c r="AA1214" s="115">
        <v>261375</v>
      </c>
      <c r="AB1214" s="115"/>
      <c r="AC1214" s="115"/>
      <c r="AD1214" s="115"/>
      <c r="AE1214" s="115"/>
      <c r="AF1214" s="115"/>
      <c r="AG1214" s="115"/>
      <c r="AH1214" s="115"/>
      <c r="AI1214" s="115"/>
      <c r="AJ1214" s="115"/>
      <c r="AK1214" s="115"/>
    </row>
    <row r="1215" spans="2:37" x14ac:dyDescent="0.25">
      <c r="E1215" t="s">
        <v>321</v>
      </c>
      <c r="H1215" t="s">
        <v>1293</v>
      </c>
      <c r="N1215" s="115">
        <v>141476</v>
      </c>
      <c r="O1215" s="115">
        <v>152381</v>
      </c>
      <c r="P1215" s="115">
        <v>162656</v>
      </c>
      <c r="Q1215" s="115">
        <v>138319</v>
      </c>
      <c r="R1215" s="115">
        <v>180795</v>
      </c>
      <c r="S1215" s="115">
        <v>162346</v>
      </c>
      <c r="T1215" s="115">
        <v>168276</v>
      </c>
      <c r="U1215" s="115">
        <v>203511</v>
      </c>
      <c r="V1215" s="115">
        <v>275187</v>
      </c>
      <c r="W1215" s="115">
        <v>263380</v>
      </c>
      <c r="X1215" s="115">
        <v>279129</v>
      </c>
      <c r="Y1215" s="115">
        <v>334071</v>
      </c>
      <c r="Z1215" s="115">
        <v>278729</v>
      </c>
      <c r="AA1215" s="115">
        <v>228316</v>
      </c>
      <c r="AB1215" s="115"/>
      <c r="AC1215" s="115"/>
      <c r="AD1215" s="115"/>
      <c r="AE1215" s="115"/>
      <c r="AF1215" s="115"/>
      <c r="AG1215" s="115"/>
      <c r="AH1215" s="115"/>
      <c r="AI1215" s="115"/>
      <c r="AJ1215" s="115"/>
      <c r="AK1215" s="115"/>
    </row>
    <row r="1216" spans="2:37" x14ac:dyDescent="0.25">
      <c r="E1216" t="s">
        <v>322</v>
      </c>
      <c r="H1216" t="s">
        <v>1293</v>
      </c>
      <c r="N1216" s="115">
        <v>168159</v>
      </c>
      <c r="O1216" s="115">
        <v>169621</v>
      </c>
      <c r="P1216" s="115">
        <v>160825</v>
      </c>
      <c r="Q1216" s="115">
        <v>171713</v>
      </c>
      <c r="R1216" s="115">
        <v>173321</v>
      </c>
      <c r="S1216" s="115">
        <v>165788</v>
      </c>
      <c r="T1216" s="115">
        <v>164054</v>
      </c>
      <c r="U1216" s="115">
        <v>206731</v>
      </c>
      <c r="V1216" s="115">
        <v>275949</v>
      </c>
      <c r="W1216" s="115">
        <v>305026</v>
      </c>
      <c r="X1216" s="115">
        <v>281991</v>
      </c>
      <c r="Y1216" s="115">
        <v>314537</v>
      </c>
      <c r="Z1216" s="115">
        <v>285496</v>
      </c>
      <c r="AA1216" s="115">
        <v>279660</v>
      </c>
      <c r="AB1216" s="115"/>
      <c r="AC1216" s="115"/>
      <c r="AD1216" s="115"/>
      <c r="AE1216" s="115"/>
      <c r="AF1216" s="115"/>
      <c r="AG1216" s="115"/>
      <c r="AH1216" s="115"/>
      <c r="AI1216" s="115"/>
      <c r="AJ1216" s="115"/>
      <c r="AK1216" s="115"/>
    </row>
    <row r="1217" spans="2:37" x14ac:dyDescent="0.25">
      <c r="E1217" t="s">
        <v>323</v>
      </c>
      <c r="H1217" t="s">
        <v>1293</v>
      </c>
      <c r="N1217" s="115">
        <v>164336</v>
      </c>
      <c r="O1217" s="115">
        <v>183552</v>
      </c>
      <c r="P1217" s="115">
        <v>200190</v>
      </c>
      <c r="Q1217" s="115">
        <v>201671</v>
      </c>
      <c r="R1217" s="115">
        <v>182330</v>
      </c>
      <c r="S1217" s="115">
        <v>199094</v>
      </c>
      <c r="T1217" s="115">
        <v>222684</v>
      </c>
      <c r="U1217" s="115">
        <v>205062</v>
      </c>
      <c r="V1217" s="115">
        <v>269317</v>
      </c>
      <c r="W1217" s="115">
        <v>319250</v>
      </c>
      <c r="X1217" s="115">
        <v>392621</v>
      </c>
      <c r="Y1217" s="115">
        <v>377894</v>
      </c>
      <c r="Z1217" s="115">
        <v>393095</v>
      </c>
      <c r="AA1217" s="115">
        <v>367138</v>
      </c>
      <c r="AB1217" s="115"/>
      <c r="AC1217" s="115"/>
      <c r="AD1217" s="115"/>
      <c r="AE1217" s="115"/>
      <c r="AF1217" s="115"/>
      <c r="AG1217" s="115"/>
      <c r="AH1217" s="115"/>
      <c r="AI1217" s="115"/>
      <c r="AJ1217" s="115"/>
      <c r="AK1217" s="115"/>
    </row>
    <row r="1218" spans="2:37" x14ac:dyDescent="0.25">
      <c r="E1218" t="s">
        <v>324</v>
      </c>
      <c r="H1218" t="s">
        <v>1293</v>
      </c>
      <c r="N1218" s="115">
        <v>211485</v>
      </c>
      <c r="O1218" s="115">
        <v>219015</v>
      </c>
      <c r="P1218" s="115">
        <v>224202</v>
      </c>
      <c r="Q1218" s="115">
        <v>276245</v>
      </c>
      <c r="R1218" s="115">
        <v>251752</v>
      </c>
      <c r="S1218" s="115">
        <v>242924</v>
      </c>
      <c r="T1218" s="115">
        <v>299971</v>
      </c>
      <c r="U1218" s="115">
        <v>324204</v>
      </c>
      <c r="V1218" s="115">
        <v>406263</v>
      </c>
      <c r="W1218" s="115">
        <v>349431</v>
      </c>
      <c r="X1218" s="115">
        <v>474305</v>
      </c>
      <c r="Y1218" s="115">
        <v>482805</v>
      </c>
      <c r="Z1218" s="115">
        <v>460624</v>
      </c>
      <c r="AA1218" s="115">
        <v>478757</v>
      </c>
      <c r="AB1218" s="115"/>
      <c r="AC1218" s="115"/>
      <c r="AD1218" s="115"/>
      <c r="AE1218" s="115"/>
      <c r="AF1218" s="115"/>
      <c r="AG1218" s="115"/>
      <c r="AH1218" s="115"/>
      <c r="AI1218" s="115"/>
      <c r="AJ1218" s="115"/>
      <c r="AK1218" s="115"/>
    </row>
    <row r="1219" spans="2:37" x14ac:dyDescent="0.25">
      <c r="E1219" t="s">
        <v>325</v>
      </c>
      <c r="H1219" t="s">
        <v>1293</v>
      </c>
      <c r="N1219" s="115">
        <v>283623</v>
      </c>
      <c r="O1219" s="115">
        <v>237526</v>
      </c>
      <c r="P1219" s="115">
        <v>266336</v>
      </c>
      <c r="Q1219" s="115">
        <v>386303</v>
      </c>
      <c r="R1219" s="115">
        <v>384568</v>
      </c>
      <c r="S1219" s="115">
        <v>278354</v>
      </c>
      <c r="T1219" s="115">
        <v>383212</v>
      </c>
      <c r="U1219" s="115">
        <v>458030</v>
      </c>
      <c r="V1219" s="115">
        <v>581762</v>
      </c>
      <c r="W1219" s="115">
        <v>653369</v>
      </c>
      <c r="X1219" s="115">
        <v>541769</v>
      </c>
      <c r="Y1219" s="115">
        <v>634127</v>
      </c>
      <c r="Z1219" s="115">
        <v>638031</v>
      </c>
      <c r="AA1219" s="115">
        <v>732811</v>
      </c>
      <c r="AB1219" s="115"/>
      <c r="AC1219" s="115"/>
      <c r="AD1219" s="115"/>
      <c r="AE1219" s="115"/>
      <c r="AF1219" s="115"/>
      <c r="AG1219" s="115"/>
      <c r="AH1219" s="115"/>
      <c r="AI1219" s="115"/>
      <c r="AJ1219" s="115"/>
      <c r="AK1219" s="115"/>
    </row>
    <row r="1220" spans="2:37" s="109" customFormat="1" x14ac:dyDescent="0.25">
      <c r="B1220" s="110"/>
      <c r="D1220" s="109" t="s">
        <v>234</v>
      </c>
      <c r="H1220" s="109" t="s">
        <v>1293</v>
      </c>
      <c r="N1220" s="114">
        <f t="shared" ref="N1220:AK1220" si="188">SUM(N1221:N1232)</f>
        <v>1264204</v>
      </c>
      <c r="O1220" s="114">
        <f t="shared" si="188"/>
        <v>1518904</v>
      </c>
      <c r="P1220" s="114">
        <f t="shared" si="188"/>
        <v>1469112</v>
      </c>
      <c r="Q1220" s="114">
        <f t="shared" si="188"/>
        <v>1689222</v>
      </c>
      <c r="R1220" s="114">
        <f t="shared" si="188"/>
        <v>1643482</v>
      </c>
      <c r="S1220" s="114">
        <f t="shared" si="188"/>
        <v>1535875</v>
      </c>
      <c r="T1220" s="114">
        <f t="shared" si="188"/>
        <v>1756395</v>
      </c>
      <c r="U1220" s="114">
        <f t="shared" si="188"/>
        <v>1640692</v>
      </c>
      <c r="V1220" s="114">
        <f t="shared" si="188"/>
        <v>1667026</v>
      </c>
      <c r="W1220" s="114">
        <f t="shared" si="188"/>
        <v>1880915</v>
      </c>
      <c r="X1220" s="114">
        <f t="shared" si="188"/>
        <v>2145035</v>
      </c>
      <c r="Y1220" s="114">
        <f t="shared" si="188"/>
        <v>2195430</v>
      </c>
      <c r="Z1220" s="114">
        <f t="shared" si="188"/>
        <v>2530340</v>
      </c>
      <c r="AA1220" s="114">
        <f t="shared" si="188"/>
        <v>2647713</v>
      </c>
      <c r="AB1220" s="114">
        <f t="shared" si="188"/>
        <v>0</v>
      </c>
      <c r="AC1220" s="114">
        <f t="shared" si="188"/>
        <v>0</v>
      </c>
      <c r="AD1220" s="114">
        <f t="shared" si="188"/>
        <v>0</v>
      </c>
      <c r="AE1220" s="114">
        <f t="shared" si="188"/>
        <v>0</v>
      </c>
      <c r="AF1220" s="114">
        <f t="shared" si="188"/>
        <v>0</v>
      </c>
      <c r="AG1220" s="114">
        <f t="shared" si="188"/>
        <v>0</v>
      </c>
      <c r="AH1220" s="114">
        <f t="shared" si="188"/>
        <v>0</v>
      </c>
      <c r="AI1220" s="114">
        <f t="shared" si="188"/>
        <v>0</v>
      </c>
      <c r="AJ1220" s="114">
        <f t="shared" si="188"/>
        <v>0</v>
      </c>
      <c r="AK1220" s="114">
        <f t="shared" si="188"/>
        <v>0</v>
      </c>
    </row>
    <row r="1221" spans="2:37" x14ac:dyDescent="0.25">
      <c r="E1221" t="s">
        <v>314</v>
      </c>
      <c r="H1221" t="s">
        <v>1293</v>
      </c>
      <c r="N1221" s="115">
        <v>177278</v>
      </c>
      <c r="O1221" s="115">
        <v>217332</v>
      </c>
      <c r="P1221" s="115">
        <v>219166</v>
      </c>
      <c r="Q1221" s="115">
        <v>269810</v>
      </c>
      <c r="R1221" s="115">
        <v>277562</v>
      </c>
      <c r="S1221" s="115">
        <v>286878</v>
      </c>
      <c r="T1221" s="115">
        <v>316445</v>
      </c>
      <c r="U1221" s="115">
        <v>276099</v>
      </c>
      <c r="V1221" s="115">
        <v>296827</v>
      </c>
      <c r="W1221" s="115">
        <v>351062</v>
      </c>
      <c r="X1221" s="115">
        <v>406199</v>
      </c>
      <c r="Y1221" s="115">
        <v>351249</v>
      </c>
      <c r="Z1221" s="115">
        <v>414072</v>
      </c>
      <c r="AA1221" s="115">
        <v>418487</v>
      </c>
      <c r="AB1221" s="115"/>
      <c r="AC1221" s="115"/>
      <c r="AD1221" s="115"/>
      <c r="AE1221" s="115"/>
      <c r="AF1221" s="115"/>
      <c r="AG1221" s="115"/>
      <c r="AH1221" s="115"/>
      <c r="AI1221" s="115"/>
      <c r="AJ1221" s="115"/>
      <c r="AK1221" s="115"/>
    </row>
    <row r="1222" spans="2:37" x14ac:dyDescent="0.25">
      <c r="E1222" t="s">
        <v>315</v>
      </c>
      <c r="H1222" t="s">
        <v>1293</v>
      </c>
      <c r="N1222" s="115">
        <v>218668</v>
      </c>
      <c r="O1222" s="115">
        <v>224364</v>
      </c>
      <c r="P1222" s="115">
        <v>220335</v>
      </c>
      <c r="Q1222" s="115">
        <v>278428</v>
      </c>
      <c r="R1222" s="115">
        <v>225559</v>
      </c>
      <c r="S1222" s="115">
        <v>232329</v>
      </c>
      <c r="T1222" s="115">
        <v>270125</v>
      </c>
      <c r="U1222" s="115">
        <v>258308</v>
      </c>
      <c r="V1222" s="115">
        <v>226646</v>
      </c>
      <c r="W1222" s="115">
        <v>290731</v>
      </c>
      <c r="X1222" s="115">
        <v>346751</v>
      </c>
      <c r="Y1222" s="115">
        <v>301432</v>
      </c>
      <c r="Z1222" s="115">
        <v>378057</v>
      </c>
      <c r="AA1222" s="115">
        <v>353548</v>
      </c>
      <c r="AB1222" s="115"/>
      <c r="AC1222" s="115"/>
      <c r="AD1222" s="115"/>
      <c r="AE1222" s="115"/>
      <c r="AF1222" s="115"/>
      <c r="AG1222" s="115"/>
      <c r="AH1222" s="115"/>
      <c r="AI1222" s="115"/>
      <c r="AJ1222" s="115"/>
      <c r="AK1222" s="115"/>
    </row>
    <row r="1223" spans="2:37" x14ac:dyDescent="0.25">
      <c r="E1223" t="s">
        <v>316</v>
      </c>
      <c r="H1223" t="s">
        <v>1293</v>
      </c>
      <c r="N1223" s="115">
        <v>204027</v>
      </c>
      <c r="O1223" s="115">
        <v>226613</v>
      </c>
      <c r="P1223" s="115">
        <v>203344</v>
      </c>
      <c r="Q1223" s="115">
        <v>208170</v>
      </c>
      <c r="R1223" s="115">
        <v>189688</v>
      </c>
      <c r="S1223" s="115">
        <v>212316</v>
      </c>
      <c r="T1223" s="115">
        <v>207978</v>
      </c>
      <c r="U1223" s="115">
        <v>192690</v>
      </c>
      <c r="V1223" s="115">
        <v>210667</v>
      </c>
      <c r="W1223" s="115">
        <v>202659</v>
      </c>
      <c r="X1223" s="115">
        <v>254792</v>
      </c>
      <c r="Y1223" s="115">
        <v>301939</v>
      </c>
      <c r="Z1223" s="115">
        <v>339395</v>
      </c>
      <c r="AA1223" s="115">
        <v>344577</v>
      </c>
      <c r="AB1223" s="115"/>
      <c r="AC1223" s="115"/>
      <c r="AD1223" s="115"/>
      <c r="AE1223" s="115"/>
      <c r="AF1223" s="115"/>
      <c r="AG1223" s="115"/>
      <c r="AH1223" s="115"/>
      <c r="AI1223" s="115"/>
      <c r="AJ1223" s="115"/>
      <c r="AK1223" s="115"/>
    </row>
    <row r="1224" spans="2:37" x14ac:dyDescent="0.25">
      <c r="E1224" t="s">
        <v>317</v>
      </c>
      <c r="H1224" t="s">
        <v>1293</v>
      </c>
      <c r="N1224" s="115">
        <v>120808</v>
      </c>
      <c r="O1224" s="115">
        <v>173628</v>
      </c>
      <c r="P1224" s="115">
        <v>174964</v>
      </c>
      <c r="Q1224" s="115">
        <v>172066</v>
      </c>
      <c r="R1224" s="115">
        <v>161887</v>
      </c>
      <c r="S1224" s="115">
        <v>132666</v>
      </c>
      <c r="T1224" s="115">
        <v>166985</v>
      </c>
      <c r="U1224" s="115">
        <v>153985</v>
      </c>
      <c r="V1224" s="115">
        <v>144076</v>
      </c>
      <c r="W1224" s="115">
        <v>180698</v>
      </c>
      <c r="X1224" s="115">
        <v>168861</v>
      </c>
      <c r="Y1224" s="115">
        <v>231190</v>
      </c>
      <c r="Z1224" s="115">
        <v>248278</v>
      </c>
      <c r="AA1224" s="115">
        <v>244518</v>
      </c>
      <c r="AB1224" s="115"/>
      <c r="AC1224" s="115"/>
      <c r="AD1224" s="115"/>
      <c r="AE1224" s="115"/>
      <c r="AF1224" s="115"/>
      <c r="AG1224" s="115"/>
      <c r="AH1224" s="115"/>
      <c r="AI1224" s="115"/>
      <c r="AJ1224" s="115"/>
      <c r="AK1224" s="115"/>
    </row>
    <row r="1225" spans="2:37" x14ac:dyDescent="0.25">
      <c r="E1225" t="s">
        <v>318</v>
      </c>
      <c r="H1225" t="s">
        <v>1293</v>
      </c>
      <c r="N1225" s="115">
        <v>94446</v>
      </c>
      <c r="O1225" s="115">
        <v>153760</v>
      </c>
      <c r="P1225" s="115">
        <v>121498</v>
      </c>
      <c r="Q1225" s="115">
        <v>121586</v>
      </c>
      <c r="R1225" s="115">
        <v>138315</v>
      </c>
      <c r="S1225" s="115">
        <v>100720</v>
      </c>
      <c r="T1225" s="115">
        <v>128735</v>
      </c>
      <c r="U1225" s="115">
        <v>116861</v>
      </c>
      <c r="V1225" s="115">
        <v>99111</v>
      </c>
      <c r="W1225" s="115">
        <v>109757</v>
      </c>
      <c r="X1225" s="115">
        <v>136069</v>
      </c>
      <c r="Y1225" s="115">
        <v>123495</v>
      </c>
      <c r="Z1225" s="115">
        <v>146179</v>
      </c>
      <c r="AA1225" s="115">
        <v>165971</v>
      </c>
      <c r="AB1225" s="115"/>
      <c r="AC1225" s="115"/>
      <c r="AD1225" s="115"/>
      <c r="AE1225" s="115"/>
      <c r="AF1225" s="115"/>
      <c r="AG1225" s="115"/>
      <c r="AH1225" s="115"/>
      <c r="AI1225" s="115"/>
      <c r="AJ1225" s="115"/>
      <c r="AK1225" s="115"/>
    </row>
    <row r="1226" spans="2:37" x14ac:dyDescent="0.25">
      <c r="E1226" t="s">
        <v>319</v>
      </c>
      <c r="H1226" t="s">
        <v>1293</v>
      </c>
      <c r="N1226" s="115">
        <v>63305</v>
      </c>
      <c r="O1226" s="115">
        <v>93903</v>
      </c>
      <c r="P1226" s="115">
        <v>71773</v>
      </c>
      <c r="Q1226" s="115">
        <v>93086</v>
      </c>
      <c r="R1226" s="115">
        <v>87275</v>
      </c>
      <c r="S1226" s="115">
        <v>76355</v>
      </c>
      <c r="T1226" s="115">
        <v>63767</v>
      </c>
      <c r="U1226" s="115">
        <v>63457</v>
      </c>
      <c r="V1226" s="115">
        <v>77573</v>
      </c>
      <c r="W1226" s="115">
        <v>84457</v>
      </c>
      <c r="X1226" s="115">
        <v>88221</v>
      </c>
      <c r="Y1226" s="115">
        <v>83262</v>
      </c>
      <c r="Z1226" s="115">
        <v>112596</v>
      </c>
      <c r="AA1226" s="115">
        <v>119854</v>
      </c>
      <c r="AB1226" s="115"/>
      <c r="AC1226" s="115"/>
      <c r="AD1226" s="115"/>
      <c r="AE1226" s="115"/>
      <c r="AF1226" s="115"/>
      <c r="AG1226" s="115"/>
      <c r="AH1226" s="115"/>
      <c r="AI1226" s="115"/>
      <c r="AJ1226" s="115"/>
      <c r="AK1226" s="115"/>
    </row>
    <row r="1227" spans="2:37" x14ac:dyDescent="0.25">
      <c r="E1227" t="s">
        <v>320</v>
      </c>
      <c r="H1227" t="s">
        <v>1293</v>
      </c>
      <c r="N1227" s="115">
        <v>48124</v>
      </c>
      <c r="O1227" s="115">
        <v>58766</v>
      </c>
      <c r="P1227" s="115">
        <v>53465</v>
      </c>
      <c r="Q1227" s="115">
        <v>58370</v>
      </c>
      <c r="R1227" s="115">
        <v>53426</v>
      </c>
      <c r="S1227" s="115">
        <v>47970</v>
      </c>
      <c r="T1227" s="115">
        <v>44768</v>
      </c>
      <c r="U1227" s="115">
        <v>52239</v>
      </c>
      <c r="V1227" s="115">
        <v>47299</v>
      </c>
      <c r="W1227" s="115">
        <v>48752</v>
      </c>
      <c r="X1227" s="115">
        <v>61017</v>
      </c>
      <c r="Y1227" s="115">
        <v>65061</v>
      </c>
      <c r="Z1227" s="115">
        <v>81183</v>
      </c>
      <c r="AA1227" s="115">
        <v>90446</v>
      </c>
      <c r="AB1227" s="115"/>
      <c r="AC1227" s="115"/>
      <c r="AD1227" s="115"/>
      <c r="AE1227" s="115"/>
      <c r="AF1227" s="115"/>
      <c r="AG1227" s="115"/>
      <c r="AH1227" s="115"/>
      <c r="AI1227" s="115"/>
      <c r="AJ1227" s="115"/>
      <c r="AK1227" s="115"/>
    </row>
    <row r="1228" spans="2:37" x14ac:dyDescent="0.25">
      <c r="E1228" t="s">
        <v>321</v>
      </c>
      <c r="H1228" t="s">
        <v>1293</v>
      </c>
      <c r="N1228" s="115">
        <v>30314</v>
      </c>
      <c r="O1228" s="115">
        <v>41128</v>
      </c>
      <c r="P1228" s="115">
        <v>36980</v>
      </c>
      <c r="Q1228" s="115">
        <v>38807</v>
      </c>
      <c r="R1228" s="115">
        <v>42970</v>
      </c>
      <c r="S1228" s="115">
        <v>39912</v>
      </c>
      <c r="T1228" s="115">
        <v>41158</v>
      </c>
      <c r="U1228" s="115">
        <v>46959</v>
      </c>
      <c r="V1228" s="115">
        <v>51526</v>
      </c>
      <c r="W1228" s="115">
        <v>51801</v>
      </c>
      <c r="X1228" s="115">
        <v>54224</v>
      </c>
      <c r="Y1228" s="115">
        <v>58065</v>
      </c>
      <c r="Z1228" s="115">
        <v>62999</v>
      </c>
      <c r="AA1228" s="115">
        <v>69039</v>
      </c>
      <c r="AB1228" s="115"/>
      <c r="AC1228" s="115"/>
      <c r="AD1228" s="115"/>
      <c r="AE1228" s="115"/>
      <c r="AF1228" s="115"/>
      <c r="AG1228" s="115"/>
      <c r="AH1228" s="115"/>
      <c r="AI1228" s="115"/>
      <c r="AJ1228" s="115"/>
      <c r="AK1228" s="115"/>
    </row>
    <row r="1229" spans="2:37" x14ac:dyDescent="0.25">
      <c r="E1229" t="s">
        <v>322</v>
      </c>
      <c r="H1229" t="s">
        <v>1293</v>
      </c>
      <c r="N1229" s="115">
        <v>31913</v>
      </c>
      <c r="O1229" s="115">
        <v>41797</v>
      </c>
      <c r="P1229" s="115">
        <v>39871</v>
      </c>
      <c r="Q1229" s="115">
        <v>45286</v>
      </c>
      <c r="R1229" s="115">
        <v>44536</v>
      </c>
      <c r="S1229" s="115">
        <v>41639</v>
      </c>
      <c r="T1229" s="115">
        <v>41965</v>
      </c>
      <c r="U1229" s="115">
        <v>57187</v>
      </c>
      <c r="V1229" s="115">
        <v>54290</v>
      </c>
      <c r="W1229" s="115">
        <v>58092</v>
      </c>
      <c r="X1229" s="115">
        <v>57982</v>
      </c>
      <c r="Y1229" s="115">
        <v>63264</v>
      </c>
      <c r="Z1229" s="115">
        <v>73713</v>
      </c>
      <c r="AA1229" s="115">
        <v>87063</v>
      </c>
      <c r="AB1229" s="115"/>
      <c r="AC1229" s="115"/>
      <c r="AD1229" s="115"/>
      <c r="AE1229" s="115"/>
      <c r="AF1229" s="115"/>
      <c r="AG1229" s="115"/>
      <c r="AH1229" s="115"/>
      <c r="AI1229" s="115"/>
      <c r="AJ1229" s="115"/>
      <c r="AK1229" s="115"/>
    </row>
    <row r="1230" spans="2:37" x14ac:dyDescent="0.25">
      <c r="E1230" t="s">
        <v>323</v>
      </c>
      <c r="H1230" t="s">
        <v>1293</v>
      </c>
      <c r="N1230" s="115">
        <v>40828</v>
      </c>
      <c r="O1230" s="115">
        <v>56106</v>
      </c>
      <c r="P1230" s="115">
        <v>55873</v>
      </c>
      <c r="Q1230" s="115">
        <v>52667</v>
      </c>
      <c r="R1230" s="115">
        <v>62648</v>
      </c>
      <c r="S1230" s="115">
        <v>67152</v>
      </c>
      <c r="T1230" s="115">
        <v>89666</v>
      </c>
      <c r="U1230" s="115">
        <v>68808</v>
      </c>
      <c r="V1230" s="115">
        <v>66473</v>
      </c>
      <c r="W1230" s="115">
        <v>83330</v>
      </c>
      <c r="X1230" s="115">
        <v>135719</v>
      </c>
      <c r="Y1230" s="115">
        <v>104262</v>
      </c>
      <c r="Z1230" s="115">
        <v>134535</v>
      </c>
      <c r="AA1230" s="115">
        <v>122589</v>
      </c>
      <c r="AB1230" s="115"/>
      <c r="AC1230" s="115"/>
      <c r="AD1230" s="115"/>
      <c r="AE1230" s="115"/>
      <c r="AF1230" s="115"/>
      <c r="AG1230" s="115"/>
      <c r="AH1230" s="115"/>
      <c r="AI1230" s="115"/>
      <c r="AJ1230" s="115"/>
      <c r="AK1230" s="115"/>
    </row>
    <row r="1231" spans="2:37" x14ac:dyDescent="0.25">
      <c r="E1231" t="s">
        <v>324</v>
      </c>
      <c r="H1231" t="s">
        <v>1293</v>
      </c>
      <c r="N1231" s="115">
        <v>82841</v>
      </c>
      <c r="O1231" s="115">
        <v>103246</v>
      </c>
      <c r="P1231" s="115">
        <v>115783</v>
      </c>
      <c r="Q1231" s="115">
        <v>134548</v>
      </c>
      <c r="R1231" s="115">
        <v>127022</v>
      </c>
      <c r="S1231" s="115">
        <v>121912</v>
      </c>
      <c r="T1231" s="115">
        <v>153676</v>
      </c>
      <c r="U1231" s="115">
        <v>144308</v>
      </c>
      <c r="V1231" s="115">
        <v>136352</v>
      </c>
      <c r="W1231" s="115">
        <v>149450</v>
      </c>
      <c r="X1231" s="115">
        <v>190666</v>
      </c>
      <c r="Y1231" s="115">
        <v>200194</v>
      </c>
      <c r="Z1231" s="115">
        <v>242054</v>
      </c>
      <c r="AA1231" s="115">
        <v>236744</v>
      </c>
      <c r="AB1231" s="115"/>
      <c r="AC1231" s="115"/>
      <c r="AD1231" s="115"/>
      <c r="AE1231" s="115"/>
      <c r="AF1231" s="115"/>
      <c r="AG1231" s="115"/>
      <c r="AH1231" s="115"/>
      <c r="AI1231" s="115"/>
      <c r="AJ1231" s="115"/>
      <c r="AK1231" s="115"/>
    </row>
    <row r="1232" spans="2:37" x14ac:dyDescent="0.25">
      <c r="E1232" t="s">
        <v>325</v>
      </c>
      <c r="H1232" t="s">
        <v>1293</v>
      </c>
      <c r="N1232" s="115">
        <v>151652</v>
      </c>
      <c r="O1232" s="115">
        <v>128261</v>
      </c>
      <c r="P1232" s="115">
        <v>156060</v>
      </c>
      <c r="Q1232" s="115">
        <v>216398</v>
      </c>
      <c r="R1232" s="115">
        <v>232594</v>
      </c>
      <c r="S1232" s="115">
        <v>176026</v>
      </c>
      <c r="T1232" s="115">
        <v>231127</v>
      </c>
      <c r="U1232" s="115">
        <v>209791</v>
      </c>
      <c r="V1232" s="115">
        <v>256186</v>
      </c>
      <c r="W1232" s="115">
        <v>270126</v>
      </c>
      <c r="X1232" s="115">
        <v>244534</v>
      </c>
      <c r="Y1232" s="115">
        <v>312017</v>
      </c>
      <c r="Z1232" s="115">
        <v>297279</v>
      </c>
      <c r="AA1232" s="115">
        <v>394877</v>
      </c>
      <c r="AB1232" s="115"/>
      <c r="AC1232" s="115"/>
      <c r="AD1232" s="115"/>
      <c r="AE1232" s="115"/>
      <c r="AF1232" s="115"/>
      <c r="AG1232" s="115"/>
      <c r="AH1232" s="115"/>
      <c r="AI1232" s="115"/>
      <c r="AJ1232" s="115"/>
      <c r="AK1232" s="115"/>
    </row>
    <row r="1233" spans="1:37" s="3" customFormat="1" x14ac:dyDescent="0.25">
      <c r="B1233" s="4"/>
      <c r="J1233" s="73"/>
      <c r="K1233" s="73"/>
      <c r="L1233" s="73"/>
      <c r="M1233" s="73"/>
      <c r="N1233" s="73"/>
    </row>
    <row r="1234" spans="1:37" s="37" customFormat="1" ht="17.25" x14ac:dyDescent="0.3">
      <c r="A1234" s="37" t="s">
        <v>21</v>
      </c>
    </row>
    <row r="1235" spans="1:37" x14ac:dyDescent="0.25">
      <c r="B1235" s="64" t="s">
        <v>31</v>
      </c>
      <c r="C1235" t="s">
        <v>1970</v>
      </c>
    </row>
    <row r="1236" spans="1:37" x14ac:dyDescent="0.25">
      <c r="B1236" s="64" t="s">
        <v>32</v>
      </c>
      <c r="C1236" s="195" t="s">
        <v>401</v>
      </c>
    </row>
    <row r="1237" spans="1:37" x14ac:dyDescent="0.25">
      <c r="B1237" s="64" t="s">
        <v>331</v>
      </c>
      <c r="C1237" s="5" t="s">
        <v>1237</v>
      </c>
    </row>
    <row r="1238" spans="1:37" x14ac:dyDescent="0.25">
      <c r="B1238" s="64" t="s">
        <v>332</v>
      </c>
      <c r="C1238" t="s">
        <v>1549</v>
      </c>
    </row>
    <row r="1239" spans="1:37" s="34" customFormat="1" ht="15.75" thickBot="1" x14ac:dyDescent="0.3">
      <c r="B1239" s="65" t="s">
        <v>334</v>
      </c>
    </row>
    <row r="1240" spans="1:37" s="224" customFormat="1" ht="15.75" thickTop="1" x14ac:dyDescent="0.25">
      <c r="C1240" s="225" t="s">
        <v>21</v>
      </c>
      <c r="H1240" s="224" t="s">
        <v>1236</v>
      </c>
      <c r="I1240" s="226">
        <f t="shared" ref="I1240:Z1240" si="189">SUM(I1241:I1252)</f>
        <v>190521</v>
      </c>
      <c r="J1240" s="226">
        <f t="shared" si="189"/>
        <v>217629</v>
      </c>
      <c r="K1240" s="226">
        <f t="shared" si="189"/>
        <v>215043</v>
      </c>
      <c r="L1240" s="226">
        <f t="shared" si="189"/>
        <v>248662</v>
      </c>
      <c r="M1240" s="226">
        <f t="shared" si="189"/>
        <v>272574</v>
      </c>
      <c r="N1240" s="226">
        <f t="shared" si="189"/>
        <v>282976</v>
      </c>
      <c r="O1240" s="226">
        <f t="shared" si="189"/>
        <v>311761</v>
      </c>
      <c r="P1240" s="226">
        <f t="shared" si="189"/>
        <v>290088</v>
      </c>
      <c r="Q1240" s="226">
        <f t="shared" si="189"/>
        <v>294408</v>
      </c>
      <c r="R1240" s="226">
        <f t="shared" si="189"/>
        <v>285520</v>
      </c>
      <c r="S1240" s="226">
        <f t="shared" si="189"/>
        <v>277632</v>
      </c>
      <c r="T1240" s="226">
        <f t="shared" si="189"/>
        <v>296369</v>
      </c>
      <c r="U1240" s="226">
        <f t="shared" si="189"/>
        <v>313474</v>
      </c>
      <c r="V1240" s="226">
        <f t="shared" si="189"/>
        <v>316674</v>
      </c>
      <c r="W1240" s="226">
        <f t="shared" si="189"/>
        <v>351414</v>
      </c>
      <c r="X1240" s="226">
        <f t="shared" si="189"/>
        <v>353776</v>
      </c>
      <c r="Y1240" s="226">
        <f t="shared" si="189"/>
        <v>391353</v>
      </c>
      <c r="Z1240" s="226">
        <f t="shared" si="189"/>
        <v>454629</v>
      </c>
      <c r="AA1240" s="226">
        <f t="shared" ref="AA1240:AK1240" si="190">SUM(AA1241:AA1252)</f>
        <v>284433</v>
      </c>
      <c r="AB1240" s="226">
        <f t="shared" si="190"/>
        <v>0</v>
      </c>
      <c r="AC1240" s="226">
        <f t="shared" si="190"/>
        <v>0</v>
      </c>
      <c r="AD1240" s="226">
        <f t="shared" si="190"/>
        <v>0</v>
      </c>
      <c r="AE1240" s="226">
        <f t="shared" si="190"/>
        <v>0</v>
      </c>
      <c r="AF1240" s="226">
        <f t="shared" si="190"/>
        <v>0</v>
      </c>
      <c r="AG1240" s="226">
        <f t="shared" si="190"/>
        <v>0</v>
      </c>
      <c r="AH1240" s="226">
        <f t="shared" si="190"/>
        <v>0</v>
      </c>
      <c r="AI1240" s="226">
        <f t="shared" si="190"/>
        <v>0</v>
      </c>
      <c r="AJ1240" s="226">
        <f t="shared" si="190"/>
        <v>0</v>
      </c>
      <c r="AK1240" s="226">
        <f t="shared" si="190"/>
        <v>0</v>
      </c>
    </row>
    <row r="1241" spans="1:37" s="219" customFormat="1" x14ac:dyDescent="0.25">
      <c r="C1241" s="220"/>
      <c r="D1241" s="219" t="s">
        <v>314</v>
      </c>
      <c r="H1241" s="219" t="s">
        <v>1236</v>
      </c>
      <c r="I1241" s="219">
        <v>17638</v>
      </c>
      <c r="J1241" s="221">
        <v>21209</v>
      </c>
      <c r="K1241" s="221">
        <v>19336</v>
      </c>
      <c r="L1241" s="221">
        <v>23669</v>
      </c>
      <c r="M1241" s="221">
        <v>26166</v>
      </c>
      <c r="N1241" s="221">
        <v>25124</v>
      </c>
      <c r="O1241" s="221">
        <v>26431</v>
      </c>
      <c r="P1241" s="221">
        <v>22931</v>
      </c>
      <c r="Q1241" s="221">
        <v>24436</v>
      </c>
      <c r="R1241" s="221">
        <v>24197</v>
      </c>
      <c r="S1241" s="221">
        <v>20689</v>
      </c>
      <c r="T1241" s="221">
        <v>24299</v>
      </c>
      <c r="U1241" s="221">
        <v>26964</v>
      </c>
      <c r="V1241" s="221">
        <v>27620</v>
      </c>
      <c r="W1241" s="221">
        <v>30488</v>
      </c>
      <c r="X1241" s="221">
        <v>34404</v>
      </c>
      <c r="Y1241" s="221">
        <v>36583</v>
      </c>
      <c r="Z1241" s="221">
        <v>40335</v>
      </c>
      <c r="AA1241" s="222">
        <v>40677</v>
      </c>
      <c r="AB1241" s="221"/>
      <c r="AC1241" s="221"/>
      <c r="AD1241" s="221"/>
      <c r="AE1241" s="221"/>
      <c r="AF1241" s="221"/>
      <c r="AG1241" s="221"/>
      <c r="AH1241" s="221"/>
      <c r="AI1241" s="221"/>
      <c r="AJ1241" s="221"/>
      <c r="AK1241" s="221"/>
    </row>
    <row r="1242" spans="1:37" s="219" customFormat="1" x14ac:dyDescent="0.25">
      <c r="C1242" s="220"/>
      <c r="D1242" s="219" t="s">
        <v>315</v>
      </c>
      <c r="H1242" s="219" t="s">
        <v>1236</v>
      </c>
      <c r="I1242" s="219">
        <v>20262</v>
      </c>
      <c r="J1242" s="221">
        <v>21511</v>
      </c>
      <c r="K1242" s="221">
        <v>22226</v>
      </c>
      <c r="L1242" s="221">
        <v>24037</v>
      </c>
      <c r="M1242" s="221">
        <v>26947</v>
      </c>
      <c r="N1242" s="221">
        <v>23276</v>
      </c>
      <c r="O1242" s="221">
        <v>28305</v>
      </c>
      <c r="P1242" s="221">
        <v>25449</v>
      </c>
      <c r="Q1242" s="221">
        <v>24817</v>
      </c>
      <c r="R1242" s="221">
        <v>23422</v>
      </c>
      <c r="S1242" s="221">
        <v>21560</v>
      </c>
      <c r="T1242" s="221">
        <v>25450</v>
      </c>
      <c r="U1242" s="221">
        <v>27808</v>
      </c>
      <c r="V1242" s="221">
        <v>27922</v>
      </c>
      <c r="W1242" s="221">
        <v>32286</v>
      </c>
      <c r="X1242" s="221">
        <v>28303</v>
      </c>
      <c r="Y1242" s="221">
        <v>33024</v>
      </c>
      <c r="Z1242" s="221">
        <v>38690</v>
      </c>
      <c r="AA1242" s="222">
        <v>42748</v>
      </c>
      <c r="AB1242" s="221"/>
      <c r="AC1242" s="221"/>
      <c r="AD1242" s="221"/>
      <c r="AE1242" s="221"/>
      <c r="AF1242" s="221"/>
      <c r="AG1242" s="221"/>
      <c r="AH1242" s="221"/>
      <c r="AI1242" s="221"/>
      <c r="AJ1242" s="221"/>
      <c r="AK1242" s="221"/>
    </row>
    <row r="1243" spans="1:37" s="219" customFormat="1" x14ac:dyDescent="0.25">
      <c r="C1243" s="220"/>
      <c r="D1243" s="219" t="s">
        <v>316</v>
      </c>
      <c r="H1243" s="219" t="s">
        <v>1236</v>
      </c>
      <c r="I1243" s="219">
        <v>23406</v>
      </c>
      <c r="J1243" s="221">
        <v>25469</v>
      </c>
      <c r="K1243" s="221">
        <v>23003</v>
      </c>
      <c r="L1243" s="221">
        <v>26994</v>
      </c>
      <c r="M1243" s="221">
        <v>30674</v>
      </c>
      <c r="N1243" s="221">
        <v>26388</v>
      </c>
      <c r="O1243" s="221">
        <v>31065</v>
      </c>
      <c r="P1243" s="221">
        <v>27435</v>
      </c>
      <c r="Q1243" s="221">
        <v>26931</v>
      </c>
      <c r="R1243" s="221">
        <v>26056</v>
      </c>
      <c r="S1243" s="221">
        <v>25348</v>
      </c>
      <c r="T1243" s="221">
        <v>27475</v>
      </c>
      <c r="U1243" s="221">
        <v>32118</v>
      </c>
      <c r="V1243" s="221">
        <v>30572</v>
      </c>
      <c r="W1243" s="221">
        <v>34279</v>
      </c>
      <c r="X1243" s="221">
        <v>34588</v>
      </c>
      <c r="Y1243" s="221">
        <v>37374</v>
      </c>
      <c r="Z1243" s="221">
        <v>47472</v>
      </c>
      <c r="AA1243" s="222">
        <v>26200</v>
      </c>
      <c r="AB1243" s="221"/>
      <c r="AC1243" s="221"/>
      <c r="AD1243" s="221"/>
      <c r="AE1243" s="221"/>
      <c r="AF1243" s="221"/>
      <c r="AG1243" s="221"/>
      <c r="AH1243" s="221"/>
      <c r="AI1243" s="221"/>
      <c r="AJ1243" s="221"/>
      <c r="AK1243" s="221"/>
    </row>
    <row r="1244" spans="1:37" s="219" customFormat="1" x14ac:dyDescent="0.25">
      <c r="C1244" s="220"/>
      <c r="D1244" s="219" t="s">
        <v>317</v>
      </c>
      <c r="H1244" s="219" t="s">
        <v>1236</v>
      </c>
      <c r="I1244" s="219">
        <v>5515</v>
      </c>
      <c r="J1244" s="221">
        <v>6387</v>
      </c>
      <c r="K1244" s="221">
        <v>5320</v>
      </c>
      <c r="L1244" s="221">
        <v>7382</v>
      </c>
      <c r="M1244" s="221">
        <v>8244</v>
      </c>
      <c r="N1244" s="221">
        <v>10234</v>
      </c>
      <c r="O1244" s="221">
        <v>9129</v>
      </c>
      <c r="P1244" s="221">
        <v>8198</v>
      </c>
      <c r="Q1244" s="221">
        <v>9803</v>
      </c>
      <c r="R1244" s="221">
        <v>8288</v>
      </c>
      <c r="S1244" s="221">
        <v>8450</v>
      </c>
      <c r="T1244" s="221">
        <v>8487</v>
      </c>
      <c r="U1244" s="221">
        <v>8040</v>
      </c>
      <c r="V1244" s="221">
        <v>8929</v>
      </c>
      <c r="W1244" s="221">
        <v>9718</v>
      </c>
      <c r="X1244" s="221">
        <v>9636</v>
      </c>
      <c r="Y1244" s="221">
        <v>13122</v>
      </c>
      <c r="Z1244" s="221">
        <v>13945</v>
      </c>
      <c r="AA1244" s="222">
        <v>481</v>
      </c>
      <c r="AB1244" s="221"/>
      <c r="AC1244" s="221"/>
      <c r="AD1244" s="221"/>
      <c r="AE1244" s="221"/>
      <c r="AF1244" s="221"/>
      <c r="AG1244" s="221"/>
      <c r="AH1244" s="221"/>
      <c r="AI1244" s="221"/>
      <c r="AJ1244" s="221"/>
      <c r="AK1244" s="221"/>
    </row>
    <row r="1245" spans="1:37" s="219" customFormat="1" x14ac:dyDescent="0.25">
      <c r="C1245" s="220"/>
      <c r="D1245" s="219" t="s">
        <v>318</v>
      </c>
      <c r="H1245" s="219" t="s">
        <v>1236</v>
      </c>
      <c r="I1245" s="219">
        <v>6159</v>
      </c>
      <c r="J1245" s="221">
        <v>7337</v>
      </c>
      <c r="K1245" s="221">
        <v>7168</v>
      </c>
      <c r="L1245" s="221">
        <v>8106</v>
      </c>
      <c r="M1245" s="221">
        <v>8992</v>
      </c>
      <c r="N1245" s="221">
        <v>8826</v>
      </c>
      <c r="O1245" s="221">
        <v>13441</v>
      </c>
      <c r="P1245" s="221">
        <v>8329</v>
      </c>
      <c r="Q1245" s="221">
        <v>11004</v>
      </c>
      <c r="R1245" s="221">
        <v>10934</v>
      </c>
      <c r="S1245" s="221">
        <v>10500</v>
      </c>
      <c r="T1245" s="221">
        <v>12101</v>
      </c>
      <c r="U1245" s="221">
        <v>13089</v>
      </c>
      <c r="V1245" s="221">
        <v>12294</v>
      </c>
      <c r="W1245" s="221">
        <v>13597</v>
      </c>
      <c r="X1245" s="221">
        <v>14529</v>
      </c>
      <c r="Y1245" s="221">
        <v>12551</v>
      </c>
      <c r="Z1245" s="221">
        <v>19624</v>
      </c>
      <c r="AA1245" s="222">
        <v>2409</v>
      </c>
      <c r="AB1245" s="221"/>
      <c r="AC1245" s="221"/>
      <c r="AD1245" s="221"/>
      <c r="AE1245" s="221"/>
      <c r="AF1245" s="221"/>
      <c r="AG1245" s="221"/>
      <c r="AH1245" s="221"/>
      <c r="AI1245" s="221"/>
      <c r="AJ1245" s="221"/>
      <c r="AK1245" s="221"/>
    </row>
    <row r="1246" spans="1:37" s="219" customFormat="1" x14ac:dyDescent="0.25">
      <c r="C1246" s="220"/>
      <c r="D1246" s="219" t="s">
        <v>319</v>
      </c>
      <c r="H1246" s="219" t="s">
        <v>1236</v>
      </c>
      <c r="I1246" s="219">
        <v>15659</v>
      </c>
      <c r="J1246" s="221">
        <v>19970</v>
      </c>
      <c r="K1246" s="221">
        <v>22565</v>
      </c>
      <c r="L1246" s="221">
        <v>26431</v>
      </c>
      <c r="M1246" s="221">
        <v>28572</v>
      </c>
      <c r="N1246" s="221">
        <v>29085</v>
      </c>
      <c r="O1246" s="221">
        <v>37350</v>
      </c>
      <c r="P1246" s="221">
        <v>29986</v>
      </c>
      <c r="Q1246" s="221">
        <v>29879</v>
      </c>
      <c r="R1246" s="221">
        <v>28329</v>
      </c>
      <c r="S1246" s="221">
        <v>27770</v>
      </c>
      <c r="T1246" s="221">
        <v>30358</v>
      </c>
      <c r="U1246" s="221">
        <v>32830</v>
      </c>
      <c r="V1246" s="221">
        <v>32961</v>
      </c>
      <c r="W1246" s="221">
        <v>34672</v>
      </c>
      <c r="X1246" s="221">
        <v>37275</v>
      </c>
      <c r="Y1246" s="221">
        <v>37867</v>
      </c>
      <c r="Z1246" s="221">
        <v>49328</v>
      </c>
      <c r="AA1246" s="222">
        <v>9601</v>
      </c>
      <c r="AB1246" s="221"/>
      <c r="AC1246" s="221"/>
      <c r="AD1246" s="221"/>
      <c r="AE1246" s="221"/>
      <c r="AF1246" s="221"/>
      <c r="AG1246" s="221"/>
      <c r="AH1246" s="221"/>
      <c r="AI1246" s="221"/>
      <c r="AJ1246" s="221"/>
      <c r="AK1246" s="221"/>
    </row>
    <row r="1247" spans="1:37" s="219" customFormat="1" x14ac:dyDescent="0.25">
      <c r="C1247" s="220"/>
      <c r="D1247" s="219" t="s">
        <v>320</v>
      </c>
      <c r="H1247" s="219" t="s">
        <v>1236</v>
      </c>
      <c r="I1247" s="219">
        <v>26048</v>
      </c>
      <c r="J1247" s="221">
        <v>32587</v>
      </c>
      <c r="K1247" s="221">
        <v>32569</v>
      </c>
      <c r="L1247" s="221">
        <v>36176</v>
      </c>
      <c r="M1247" s="221">
        <v>41666</v>
      </c>
      <c r="N1247" s="221">
        <v>44037</v>
      </c>
      <c r="O1247" s="221">
        <v>48358</v>
      </c>
      <c r="P1247" s="221">
        <v>46138</v>
      </c>
      <c r="Q1247" s="221">
        <v>46197</v>
      </c>
      <c r="R1247" s="221">
        <v>47389</v>
      </c>
      <c r="S1247" s="221">
        <v>46185</v>
      </c>
      <c r="T1247" s="221">
        <v>47319</v>
      </c>
      <c r="U1247" s="221">
        <v>48107</v>
      </c>
      <c r="V1247" s="221">
        <v>47053</v>
      </c>
      <c r="W1247" s="221">
        <v>52065</v>
      </c>
      <c r="X1247" s="221">
        <v>53580</v>
      </c>
      <c r="Y1247" s="221">
        <v>56762</v>
      </c>
      <c r="Z1247" s="221">
        <v>63657</v>
      </c>
      <c r="AA1247" s="222">
        <v>31419</v>
      </c>
      <c r="AB1247" s="221"/>
      <c r="AC1247" s="221"/>
      <c r="AD1247" s="221"/>
      <c r="AE1247" s="221"/>
      <c r="AF1247" s="221"/>
      <c r="AG1247" s="221"/>
      <c r="AH1247" s="221"/>
      <c r="AI1247" s="221"/>
      <c r="AJ1247" s="221"/>
      <c r="AK1247" s="221"/>
    </row>
    <row r="1248" spans="1:37" s="219" customFormat="1" x14ac:dyDescent="0.25">
      <c r="C1248" s="220"/>
      <c r="D1248" s="219" t="s">
        <v>321</v>
      </c>
      <c r="H1248" s="219" t="s">
        <v>1236</v>
      </c>
      <c r="I1248" s="219">
        <v>29550</v>
      </c>
      <c r="J1248" s="221">
        <v>37476</v>
      </c>
      <c r="K1248" s="221">
        <v>33355</v>
      </c>
      <c r="L1248" s="221">
        <v>36392</v>
      </c>
      <c r="M1248" s="221">
        <v>41778</v>
      </c>
      <c r="N1248" s="221">
        <v>44608</v>
      </c>
      <c r="O1248" s="221">
        <v>53073</v>
      </c>
      <c r="P1248" s="221">
        <v>53731</v>
      </c>
      <c r="Q1248" s="221">
        <v>50501</v>
      </c>
      <c r="R1248" s="221">
        <v>50319</v>
      </c>
      <c r="S1248" s="221">
        <v>49994</v>
      </c>
      <c r="T1248" s="221">
        <v>50783</v>
      </c>
      <c r="U1248" s="221">
        <v>52254</v>
      </c>
      <c r="V1248" s="221">
        <v>51413</v>
      </c>
      <c r="W1248" s="221">
        <v>53591</v>
      </c>
      <c r="X1248" s="221">
        <v>51936</v>
      </c>
      <c r="Y1248" s="221">
        <v>57887</v>
      </c>
      <c r="Z1248" s="221">
        <v>65366</v>
      </c>
      <c r="AA1248" s="222">
        <v>40963</v>
      </c>
      <c r="AB1248" s="221"/>
      <c r="AC1248" s="221"/>
      <c r="AD1248" s="221"/>
      <c r="AE1248" s="221"/>
      <c r="AF1248" s="221"/>
      <c r="AG1248" s="221"/>
      <c r="AH1248" s="221"/>
      <c r="AI1248" s="221"/>
      <c r="AJ1248" s="221"/>
      <c r="AK1248" s="221"/>
    </row>
    <row r="1249" spans="2:37" s="219" customFormat="1" x14ac:dyDescent="0.25">
      <c r="C1249" s="220"/>
      <c r="D1249" s="219" t="s">
        <v>322</v>
      </c>
      <c r="H1249" s="219" t="s">
        <v>1236</v>
      </c>
      <c r="I1249" s="219">
        <v>20926</v>
      </c>
      <c r="J1249" s="221">
        <v>22444</v>
      </c>
      <c r="K1249" s="221">
        <v>21136</v>
      </c>
      <c r="L1249" s="221">
        <v>27699</v>
      </c>
      <c r="M1249" s="221">
        <v>24826</v>
      </c>
      <c r="N1249" s="221">
        <v>33899</v>
      </c>
      <c r="O1249" s="221">
        <v>33211</v>
      </c>
      <c r="P1249" s="221">
        <v>33037</v>
      </c>
      <c r="Q1249" s="221">
        <v>35115</v>
      </c>
      <c r="R1249" s="221">
        <v>32842</v>
      </c>
      <c r="S1249" s="221">
        <v>32503</v>
      </c>
      <c r="T1249" s="221">
        <v>34262</v>
      </c>
      <c r="U1249" s="221">
        <v>33139</v>
      </c>
      <c r="V1249" s="221">
        <v>32813</v>
      </c>
      <c r="W1249" s="221">
        <v>40334</v>
      </c>
      <c r="X1249" s="221">
        <v>35853</v>
      </c>
      <c r="Y1249" s="221">
        <v>44340</v>
      </c>
      <c r="Z1249" s="221">
        <v>48868</v>
      </c>
      <c r="AA1249" s="222">
        <v>32648</v>
      </c>
      <c r="AB1249" s="221"/>
      <c r="AC1249" s="221"/>
      <c r="AD1249" s="221"/>
      <c r="AE1249" s="221"/>
      <c r="AF1249" s="221"/>
      <c r="AG1249" s="221"/>
      <c r="AH1249" s="221"/>
      <c r="AI1249" s="221"/>
      <c r="AJ1249" s="221"/>
      <c r="AK1249" s="221"/>
    </row>
    <row r="1250" spans="2:37" s="219" customFormat="1" x14ac:dyDescent="0.25">
      <c r="C1250" s="220"/>
      <c r="D1250" s="219" t="s">
        <v>323</v>
      </c>
      <c r="H1250" s="219" t="s">
        <v>1236</v>
      </c>
      <c r="I1250" s="219">
        <v>7678</v>
      </c>
      <c r="J1250" s="221">
        <v>7234</v>
      </c>
      <c r="K1250" s="221">
        <v>9362</v>
      </c>
      <c r="L1250" s="221">
        <v>11077</v>
      </c>
      <c r="M1250" s="221">
        <v>11300</v>
      </c>
      <c r="N1250" s="221">
        <v>13495</v>
      </c>
      <c r="O1250" s="221">
        <v>12559</v>
      </c>
      <c r="P1250" s="221">
        <v>12411</v>
      </c>
      <c r="Q1250" s="221">
        <v>13715</v>
      </c>
      <c r="R1250" s="221">
        <v>11968</v>
      </c>
      <c r="S1250" s="221">
        <v>12809</v>
      </c>
      <c r="T1250" s="221">
        <v>13689</v>
      </c>
      <c r="U1250" s="221">
        <v>14823</v>
      </c>
      <c r="V1250" s="221">
        <v>15864</v>
      </c>
      <c r="W1250" s="221">
        <v>19334</v>
      </c>
      <c r="X1250" s="221">
        <v>19898</v>
      </c>
      <c r="Y1250" s="221">
        <v>23816</v>
      </c>
      <c r="Z1250" s="221">
        <v>26141</v>
      </c>
      <c r="AA1250" s="222">
        <v>23462</v>
      </c>
      <c r="AB1250" s="221"/>
      <c r="AC1250" s="221"/>
      <c r="AD1250" s="221"/>
      <c r="AE1250" s="221"/>
      <c r="AF1250" s="221"/>
      <c r="AG1250" s="221"/>
      <c r="AH1250" s="221"/>
      <c r="AI1250" s="221"/>
      <c r="AJ1250" s="221"/>
      <c r="AK1250" s="221"/>
    </row>
    <row r="1251" spans="2:37" s="219" customFormat="1" x14ac:dyDescent="0.25">
      <c r="C1251" s="220"/>
      <c r="D1251" s="219" t="s">
        <v>324</v>
      </c>
      <c r="H1251" s="219" t="s">
        <v>1236</v>
      </c>
      <c r="I1251" s="219">
        <v>5550</v>
      </c>
      <c r="J1251" s="221">
        <v>5076</v>
      </c>
      <c r="K1251" s="221">
        <v>6485</v>
      </c>
      <c r="L1251" s="221">
        <v>6882</v>
      </c>
      <c r="M1251" s="221">
        <v>7875</v>
      </c>
      <c r="N1251" s="221">
        <v>7992</v>
      </c>
      <c r="O1251" s="221">
        <v>6605</v>
      </c>
      <c r="P1251" s="221">
        <v>7277</v>
      </c>
      <c r="Q1251" s="221">
        <v>7296</v>
      </c>
      <c r="R1251" s="221">
        <v>6707</v>
      </c>
      <c r="S1251" s="221">
        <v>7024</v>
      </c>
      <c r="T1251" s="221">
        <v>7269</v>
      </c>
      <c r="U1251" s="221">
        <v>7249</v>
      </c>
      <c r="V1251" s="221">
        <v>8165</v>
      </c>
      <c r="W1251" s="221">
        <v>8652</v>
      </c>
      <c r="X1251" s="221">
        <v>9379</v>
      </c>
      <c r="Y1251" s="221">
        <v>13804</v>
      </c>
      <c r="Z1251" s="221">
        <v>13763</v>
      </c>
      <c r="AA1251" s="222">
        <v>11264</v>
      </c>
      <c r="AB1251" s="221"/>
      <c r="AC1251" s="221"/>
      <c r="AD1251" s="221"/>
      <c r="AE1251" s="221"/>
      <c r="AF1251" s="221"/>
      <c r="AG1251" s="221"/>
      <c r="AH1251" s="221"/>
      <c r="AI1251" s="221"/>
      <c r="AJ1251" s="221"/>
      <c r="AK1251" s="221"/>
    </row>
    <row r="1252" spans="2:37" s="219" customFormat="1" x14ac:dyDescent="0.25">
      <c r="C1252" s="220"/>
      <c r="D1252" s="219" t="s">
        <v>325</v>
      </c>
      <c r="H1252" s="219" t="s">
        <v>1236</v>
      </c>
      <c r="I1252" s="219">
        <v>12130</v>
      </c>
      <c r="J1252" s="221">
        <v>10929</v>
      </c>
      <c r="K1252" s="221">
        <v>12518</v>
      </c>
      <c r="L1252" s="221">
        <v>13817</v>
      </c>
      <c r="M1252" s="221">
        <v>15534</v>
      </c>
      <c r="N1252" s="221">
        <v>16012</v>
      </c>
      <c r="O1252" s="221">
        <v>12234</v>
      </c>
      <c r="P1252" s="221">
        <v>15166</v>
      </c>
      <c r="Q1252" s="221">
        <v>14714</v>
      </c>
      <c r="R1252" s="221">
        <v>15069</v>
      </c>
      <c r="S1252" s="221">
        <v>14800</v>
      </c>
      <c r="T1252" s="221">
        <v>14877</v>
      </c>
      <c r="U1252" s="221">
        <v>17053</v>
      </c>
      <c r="V1252" s="221">
        <v>21068</v>
      </c>
      <c r="W1252" s="221">
        <v>22398</v>
      </c>
      <c r="X1252" s="221">
        <v>24395</v>
      </c>
      <c r="Y1252" s="221">
        <v>24223</v>
      </c>
      <c r="Z1252" s="221">
        <v>27440</v>
      </c>
      <c r="AA1252" s="222">
        <v>22561</v>
      </c>
      <c r="AB1252" s="221"/>
      <c r="AC1252" s="221"/>
      <c r="AD1252" s="221"/>
      <c r="AE1252" s="221"/>
      <c r="AF1252" s="221"/>
      <c r="AG1252" s="221"/>
      <c r="AH1252" s="221"/>
      <c r="AI1252" s="221"/>
      <c r="AJ1252" s="221"/>
      <c r="AK1252" s="221"/>
    </row>
    <row r="1253" spans="2:37" s="62" customFormat="1" x14ac:dyDescent="0.25">
      <c r="B1253" s="218"/>
      <c r="C1253" s="197" t="s">
        <v>1234</v>
      </c>
      <c r="H1253" s="62" t="s">
        <v>1235</v>
      </c>
      <c r="I1253" s="62">
        <f>SUM(I1254:I1265)</f>
        <v>0</v>
      </c>
      <c r="J1253" s="62">
        <f t="shared" ref="J1253:AK1253" si="191">SUM(J1254:J1265)</f>
        <v>0</v>
      </c>
      <c r="K1253" s="62">
        <f t="shared" si="191"/>
        <v>0</v>
      </c>
      <c r="L1253" s="62">
        <f t="shared" si="191"/>
        <v>0</v>
      </c>
      <c r="M1253" s="62">
        <f t="shared" si="191"/>
        <v>0</v>
      </c>
      <c r="N1253" s="62">
        <f t="shared" si="191"/>
        <v>0</v>
      </c>
      <c r="O1253" s="62">
        <f t="shared" si="191"/>
        <v>0</v>
      </c>
      <c r="P1253" s="62">
        <f t="shared" si="191"/>
        <v>0</v>
      </c>
      <c r="Q1253" s="62">
        <f t="shared" si="191"/>
        <v>0</v>
      </c>
      <c r="R1253" s="62">
        <f t="shared" si="191"/>
        <v>0</v>
      </c>
      <c r="S1253" s="62">
        <f t="shared" si="191"/>
        <v>0</v>
      </c>
      <c r="T1253" s="62">
        <f t="shared" si="191"/>
        <v>0</v>
      </c>
      <c r="U1253" s="62">
        <f t="shared" si="191"/>
        <v>0</v>
      </c>
      <c r="V1253" s="62">
        <f t="shared" si="191"/>
        <v>0</v>
      </c>
      <c r="W1253" s="62">
        <f t="shared" si="191"/>
        <v>0</v>
      </c>
      <c r="X1253" s="62">
        <f t="shared" si="191"/>
        <v>0</v>
      </c>
      <c r="Y1253" s="62">
        <f t="shared" si="191"/>
        <v>416</v>
      </c>
      <c r="Z1253" s="62">
        <f t="shared" si="191"/>
        <v>4741</v>
      </c>
      <c r="AA1253" s="62">
        <f t="shared" si="191"/>
        <v>3846</v>
      </c>
      <c r="AB1253" s="62">
        <f t="shared" si="191"/>
        <v>0</v>
      </c>
      <c r="AC1253" s="62">
        <f t="shared" si="191"/>
        <v>0</v>
      </c>
      <c r="AD1253" s="62">
        <f t="shared" si="191"/>
        <v>0</v>
      </c>
      <c r="AE1253" s="62">
        <f t="shared" si="191"/>
        <v>0</v>
      </c>
      <c r="AF1253" s="62">
        <f t="shared" si="191"/>
        <v>0</v>
      </c>
      <c r="AG1253" s="62">
        <f t="shared" si="191"/>
        <v>0</v>
      </c>
      <c r="AH1253" s="62">
        <f t="shared" si="191"/>
        <v>0</v>
      </c>
      <c r="AI1253" s="62">
        <f t="shared" si="191"/>
        <v>0</v>
      </c>
      <c r="AJ1253" s="62">
        <f t="shared" si="191"/>
        <v>0</v>
      </c>
      <c r="AK1253" s="62">
        <f t="shared" si="191"/>
        <v>0</v>
      </c>
    </row>
    <row r="1254" spans="2:37" s="219" customFormat="1" x14ac:dyDescent="0.25">
      <c r="C1254" s="220"/>
      <c r="D1254" s="219" t="s">
        <v>314</v>
      </c>
      <c r="H1254" s="219" t="s">
        <v>1235</v>
      </c>
      <c r="J1254" s="221"/>
      <c r="K1254" s="221"/>
      <c r="L1254" s="221"/>
      <c r="M1254" s="221"/>
      <c r="N1254" s="221"/>
      <c r="O1254" s="221"/>
      <c r="P1254" s="221"/>
      <c r="Q1254" s="221"/>
      <c r="R1254" s="221"/>
      <c r="S1254" s="221"/>
      <c r="T1254" s="221"/>
      <c r="U1254" s="221"/>
      <c r="V1254" s="221"/>
      <c r="W1254" s="221"/>
      <c r="X1254" s="221"/>
      <c r="Y1254" s="221">
        <v>416</v>
      </c>
      <c r="Z1254" s="221">
        <v>445</v>
      </c>
      <c r="AA1254" s="222">
        <v>450</v>
      </c>
      <c r="AB1254" s="221"/>
      <c r="AC1254" s="221"/>
      <c r="AD1254" s="221"/>
      <c r="AE1254" s="221"/>
      <c r="AF1254" s="221"/>
      <c r="AG1254" s="221"/>
      <c r="AH1254" s="221"/>
      <c r="AI1254" s="221"/>
      <c r="AJ1254" s="221"/>
      <c r="AK1254" s="221"/>
    </row>
    <row r="1255" spans="2:37" s="219" customFormat="1" x14ac:dyDescent="0.25">
      <c r="C1255" s="220"/>
      <c r="D1255" s="219" t="s">
        <v>315</v>
      </c>
      <c r="H1255" s="219" t="s">
        <v>1235</v>
      </c>
      <c r="J1255" s="221"/>
      <c r="K1255" s="221"/>
      <c r="L1255" s="221"/>
      <c r="M1255" s="221"/>
      <c r="N1255" s="221"/>
      <c r="O1255" s="221"/>
      <c r="P1255" s="221"/>
      <c r="Q1255" s="221"/>
      <c r="R1255" s="221"/>
      <c r="S1255" s="221"/>
      <c r="T1255" s="221"/>
      <c r="U1255" s="221"/>
      <c r="V1255" s="221"/>
      <c r="W1255" s="221"/>
      <c r="X1255" s="221"/>
      <c r="Y1255" s="221"/>
      <c r="Z1255" s="221">
        <v>403</v>
      </c>
      <c r="AA1255" s="222">
        <v>436</v>
      </c>
      <c r="AB1255" s="221"/>
      <c r="AC1255" s="221"/>
      <c r="AD1255" s="221"/>
      <c r="AE1255" s="221"/>
      <c r="AF1255" s="221"/>
      <c r="AG1255" s="221"/>
      <c r="AH1255" s="221"/>
      <c r="AI1255" s="221"/>
      <c r="AJ1255" s="221"/>
      <c r="AK1255" s="221"/>
    </row>
    <row r="1256" spans="2:37" s="219" customFormat="1" x14ac:dyDescent="0.25">
      <c r="D1256" s="219" t="s">
        <v>316</v>
      </c>
      <c r="H1256" s="219" t="s">
        <v>1235</v>
      </c>
      <c r="Z1256" s="219">
        <v>499</v>
      </c>
      <c r="AA1256" s="222">
        <v>324</v>
      </c>
    </row>
    <row r="1257" spans="2:37" s="219" customFormat="1" x14ac:dyDescent="0.25">
      <c r="D1257" s="219" t="s">
        <v>317</v>
      </c>
      <c r="H1257" s="219" t="s">
        <v>1235</v>
      </c>
      <c r="Z1257" s="219">
        <v>179</v>
      </c>
      <c r="AA1257" s="222">
        <v>80</v>
      </c>
    </row>
    <row r="1258" spans="2:37" s="219" customFormat="1" x14ac:dyDescent="0.25">
      <c r="D1258" s="219" t="s">
        <v>318</v>
      </c>
      <c r="H1258" s="219" t="s">
        <v>1235</v>
      </c>
      <c r="Z1258" s="219">
        <v>194</v>
      </c>
      <c r="AA1258" s="222">
        <v>115</v>
      </c>
    </row>
    <row r="1259" spans="2:37" s="219" customFormat="1" x14ac:dyDescent="0.25">
      <c r="D1259" s="219" t="s">
        <v>319</v>
      </c>
      <c r="H1259" s="219" t="s">
        <v>1235</v>
      </c>
      <c r="Z1259" s="219">
        <v>533</v>
      </c>
      <c r="AA1259" s="222">
        <v>182</v>
      </c>
    </row>
    <row r="1260" spans="2:37" s="219" customFormat="1" x14ac:dyDescent="0.25">
      <c r="D1260" s="219" t="s">
        <v>320</v>
      </c>
      <c r="H1260" s="219" t="s">
        <v>1235</v>
      </c>
      <c r="Z1260" s="219">
        <v>651</v>
      </c>
      <c r="AA1260" s="222">
        <v>440</v>
      </c>
    </row>
    <row r="1261" spans="2:37" s="219" customFormat="1" x14ac:dyDescent="0.25">
      <c r="D1261" s="219" t="s">
        <v>321</v>
      </c>
      <c r="H1261" s="219" t="s">
        <v>1235</v>
      </c>
      <c r="Z1261" s="219">
        <v>624</v>
      </c>
      <c r="AA1261" s="222">
        <v>496</v>
      </c>
    </row>
    <row r="1262" spans="2:37" s="219" customFormat="1" x14ac:dyDescent="0.25">
      <c r="D1262" s="219" t="s">
        <v>322</v>
      </c>
      <c r="H1262" s="219" t="s">
        <v>1235</v>
      </c>
      <c r="Z1262" s="219">
        <v>420</v>
      </c>
      <c r="AA1262" s="222">
        <v>344</v>
      </c>
    </row>
    <row r="1263" spans="2:37" s="219" customFormat="1" x14ac:dyDescent="0.25">
      <c r="D1263" s="219" t="s">
        <v>323</v>
      </c>
      <c r="H1263" s="219" t="s">
        <v>1235</v>
      </c>
      <c r="Z1263" s="219">
        <v>226</v>
      </c>
      <c r="AA1263" s="222">
        <v>252</v>
      </c>
    </row>
    <row r="1264" spans="2:37" s="219" customFormat="1" x14ac:dyDescent="0.25">
      <c r="D1264" s="219" t="s">
        <v>324</v>
      </c>
      <c r="H1264" s="219" t="s">
        <v>1235</v>
      </c>
      <c r="Z1264" s="219">
        <v>170</v>
      </c>
      <c r="AA1264" s="222">
        <v>249</v>
      </c>
    </row>
    <row r="1265" spans="1:37" s="219" customFormat="1" x14ac:dyDescent="0.25">
      <c r="D1265" s="219" t="s">
        <v>325</v>
      </c>
      <c r="H1265" s="219" t="s">
        <v>1235</v>
      </c>
      <c r="Z1265" s="219">
        <v>397</v>
      </c>
      <c r="AA1265" s="222">
        <v>478</v>
      </c>
    </row>
    <row r="1266" spans="1:37" s="3" customFormat="1" x14ac:dyDescent="0.25">
      <c r="B1266" s="4"/>
      <c r="J1266" s="73"/>
      <c r="K1266" s="74"/>
      <c r="L1266" s="74"/>
      <c r="M1266" s="74"/>
      <c r="N1266" s="74"/>
      <c r="O1266" s="74"/>
      <c r="P1266" s="74"/>
      <c r="Q1266" s="74"/>
      <c r="R1266" s="74"/>
      <c r="S1266" s="74"/>
      <c r="T1266" s="74"/>
      <c r="U1266" s="74"/>
      <c r="V1266" s="74"/>
      <c r="W1266" s="74"/>
    </row>
    <row r="1267" spans="1:37" s="37" customFormat="1" ht="17.25" x14ac:dyDescent="0.3">
      <c r="A1267" s="37" t="s">
        <v>1145</v>
      </c>
    </row>
    <row r="1268" spans="1:37" x14ac:dyDescent="0.25">
      <c r="B1268" s="64" t="s">
        <v>31</v>
      </c>
    </row>
    <row r="1269" spans="1:37" x14ac:dyDescent="0.25">
      <c r="B1269" s="64" t="s">
        <v>32</v>
      </c>
      <c r="C1269" s="195" t="s">
        <v>405</v>
      </c>
    </row>
    <row r="1270" spans="1:37" x14ac:dyDescent="0.25">
      <c r="B1270" s="64" t="s">
        <v>331</v>
      </c>
      <c r="C1270" s="5"/>
    </row>
    <row r="1271" spans="1:37" x14ac:dyDescent="0.25">
      <c r="B1271" s="64" t="s">
        <v>332</v>
      </c>
    </row>
    <row r="1272" spans="1:37" x14ac:dyDescent="0.25">
      <c r="B1272" s="64" t="s">
        <v>334</v>
      </c>
      <c r="C1272" t="s">
        <v>1465</v>
      </c>
    </row>
    <row r="1273" spans="1:37" s="34" customFormat="1" ht="15.75" thickBot="1" x14ac:dyDescent="0.3">
      <c r="B1273" s="65"/>
    </row>
    <row r="1274" spans="1:37" s="13" customFormat="1" ht="15.75" thickTop="1" x14ac:dyDescent="0.25">
      <c r="B1274" s="14"/>
      <c r="C1274" s="13" t="s">
        <v>1146</v>
      </c>
      <c r="J1274" s="75"/>
      <c r="K1274" s="75"/>
      <c r="L1274" s="75"/>
      <c r="M1274" s="75"/>
      <c r="N1274" s="75"/>
    </row>
    <row r="1275" spans="1:37" s="109" customFormat="1" x14ac:dyDescent="0.25">
      <c r="B1275" s="110"/>
      <c r="D1275" s="109" t="s">
        <v>162</v>
      </c>
      <c r="I1275" s="111">
        <f>SUM(I1276:I1283)</f>
        <v>351400</v>
      </c>
      <c r="J1275" s="111">
        <f t="shared" ref="J1275:AK1275" si="192">SUM(J1276:J1283)</f>
        <v>412568</v>
      </c>
      <c r="K1275" s="111">
        <f t="shared" si="192"/>
        <v>416215</v>
      </c>
      <c r="L1275" s="111">
        <f t="shared" si="192"/>
        <v>418715</v>
      </c>
      <c r="M1275" s="111">
        <f t="shared" si="192"/>
        <v>418715</v>
      </c>
      <c r="N1275" s="111">
        <f t="shared" si="192"/>
        <v>418715</v>
      </c>
      <c r="O1275" s="111">
        <f t="shared" si="192"/>
        <v>418559</v>
      </c>
      <c r="P1275" s="111">
        <f t="shared" si="192"/>
        <v>418559</v>
      </c>
      <c r="Q1275" s="111">
        <f t="shared" si="192"/>
        <v>426419</v>
      </c>
      <c r="R1275" s="111">
        <f t="shared" si="192"/>
        <v>426419</v>
      </c>
      <c r="S1275" s="111">
        <f t="shared" si="192"/>
        <v>426419</v>
      </c>
      <c r="T1275" s="111">
        <f t="shared" si="192"/>
        <v>426419</v>
      </c>
      <c r="U1275" s="111">
        <f t="shared" si="192"/>
        <v>426419</v>
      </c>
      <c r="V1275" s="111">
        <f t="shared" si="192"/>
        <v>433989</v>
      </c>
      <c r="W1275" s="111">
        <f t="shared" si="192"/>
        <v>433989</v>
      </c>
      <c r="X1275" s="111">
        <f t="shared" si="192"/>
        <v>433989</v>
      </c>
      <c r="Y1275" s="111">
        <f t="shared" si="192"/>
        <v>430675</v>
      </c>
      <c r="Z1275" s="111">
        <f t="shared" si="192"/>
        <v>426419</v>
      </c>
      <c r="AA1275" s="111">
        <f t="shared" si="192"/>
        <v>426419</v>
      </c>
      <c r="AB1275" s="111">
        <f t="shared" si="192"/>
        <v>0</v>
      </c>
      <c r="AC1275" s="111">
        <f t="shared" si="192"/>
        <v>0</v>
      </c>
      <c r="AD1275" s="111">
        <f t="shared" si="192"/>
        <v>0</v>
      </c>
      <c r="AE1275" s="111">
        <f t="shared" si="192"/>
        <v>0</v>
      </c>
      <c r="AF1275" s="111">
        <f t="shared" si="192"/>
        <v>0</v>
      </c>
      <c r="AG1275" s="111">
        <f t="shared" si="192"/>
        <v>0</v>
      </c>
      <c r="AH1275" s="111">
        <f t="shared" si="192"/>
        <v>0</v>
      </c>
      <c r="AI1275" s="111">
        <f t="shared" si="192"/>
        <v>0</v>
      </c>
      <c r="AJ1275" s="111">
        <f t="shared" si="192"/>
        <v>0</v>
      </c>
      <c r="AK1275" s="111">
        <f t="shared" si="192"/>
        <v>0</v>
      </c>
    </row>
    <row r="1276" spans="1:37" s="9" customFormat="1" x14ac:dyDescent="0.25">
      <c r="B1276" s="128"/>
      <c r="E1276" s="9" t="s">
        <v>1147</v>
      </c>
      <c r="H1276" s="9" t="s">
        <v>1017</v>
      </c>
      <c r="I1276" s="85">
        <v>82000</v>
      </c>
      <c r="J1276" s="85">
        <v>82000</v>
      </c>
      <c r="K1276" s="85">
        <v>82000</v>
      </c>
      <c r="L1276" s="85">
        <v>82000</v>
      </c>
      <c r="M1276" s="85">
        <v>82000</v>
      </c>
      <c r="N1276" s="85">
        <v>82000</v>
      </c>
      <c r="O1276" s="85">
        <v>81844</v>
      </c>
      <c r="P1276" s="85">
        <v>81844</v>
      </c>
      <c r="Q1276" s="85">
        <v>81844</v>
      </c>
      <c r="R1276" s="85">
        <v>81844</v>
      </c>
      <c r="S1276" s="85">
        <v>81844</v>
      </c>
      <c r="T1276" s="85">
        <v>81844</v>
      </c>
      <c r="U1276" s="85">
        <v>81844</v>
      </c>
      <c r="V1276" s="85">
        <f>81844+3314</f>
        <v>85158</v>
      </c>
      <c r="W1276" s="85">
        <f t="shared" ref="W1276:X1276" si="193">81844+3314</f>
        <v>85158</v>
      </c>
      <c r="X1276" s="85">
        <f t="shared" si="193"/>
        <v>85158</v>
      </c>
      <c r="Y1276" s="85">
        <v>81844</v>
      </c>
      <c r="Z1276" s="85">
        <v>81844</v>
      </c>
      <c r="AA1276" s="85">
        <v>81844</v>
      </c>
      <c r="AB1276" s="85"/>
      <c r="AC1276" s="85"/>
      <c r="AD1276" s="85"/>
      <c r="AE1276" s="85"/>
      <c r="AF1276" s="85"/>
      <c r="AG1276" s="85"/>
      <c r="AH1276" s="85"/>
      <c r="AI1276" s="85"/>
      <c r="AJ1276" s="85"/>
      <c r="AK1276" s="85"/>
    </row>
    <row r="1277" spans="1:37" s="9" customFormat="1" x14ac:dyDescent="0.25">
      <c r="B1277" s="128"/>
      <c r="E1277" s="9" t="s">
        <v>1149</v>
      </c>
      <c r="H1277" s="9" t="s">
        <v>1017</v>
      </c>
      <c r="I1277" s="85"/>
      <c r="J1277" s="85">
        <v>61168</v>
      </c>
      <c r="K1277" s="85">
        <v>61168</v>
      </c>
      <c r="L1277" s="85">
        <v>61168</v>
      </c>
      <c r="M1277" s="85">
        <v>61168</v>
      </c>
      <c r="N1277" s="85">
        <v>61168</v>
      </c>
      <c r="O1277" s="85">
        <v>61168</v>
      </c>
      <c r="P1277" s="85">
        <v>61168</v>
      </c>
      <c r="Q1277" s="85">
        <f>61168+7860</f>
        <v>69028</v>
      </c>
      <c r="R1277" s="85">
        <f t="shared" ref="R1277:AA1277" si="194">61168+7860</f>
        <v>69028</v>
      </c>
      <c r="S1277" s="85">
        <f t="shared" si="194"/>
        <v>69028</v>
      </c>
      <c r="T1277" s="85">
        <f t="shared" si="194"/>
        <v>69028</v>
      </c>
      <c r="U1277" s="85">
        <f t="shared" si="194"/>
        <v>69028</v>
      </c>
      <c r="V1277" s="85">
        <f t="shared" si="194"/>
        <v>69028</v>
      </c>
      <c r="W1277" s="85">
        <f t="shared" si="194"/>
        <v>69028</v>
      </c>
      <c r="X1277" s="85">
        <f t="shared" si="194"/>
        <v>69028</v>
      </c>
      <c r="Y1277" s="85">
        <f t="shared" si="194"/>
        <v>69028</v>
      </c>
      <c r="Z1277" s="85">
        <f t="shared" si="194"/>
        <v>69028</v>
      </c>
      <c r="AA1277" s="85">
        <f t="shared" si="194"/>
        <v>69028</v>
      </c>
      <c r="AB1277" s="85"/>
      <c r="AC1277" s="85"/>
      <c r="AD1277" s="85"/>
      <c r="AE1277" s="85"/>
      <c r="AF1277" s="85"/>
      <c r="AG1277" s="85"/>
      <c r="AH1277" s="85"/>
      <c r="AI1277" s="85"/>
      <c r="AJ1277" s="85"/>
      <c r="AK1277" s="85"/>
    </row>
    <row r="1278" spans="1:37" s="9" customFormat="1" x14ac:dyDescent="0.25">
      <c r="B1278" s="128"/>
      <c r="E1278" s="9" t="s">
        <v>1148</v>
      </c>
      <c r="H1278" s="9" t="s">
        <v>1017</v>
      </c>
      <c r="I1278" s="85">
        <v>92500</v>
      </c>
      <c r="J1278" s="85">
        <v>92500</v>
      </c>
      <c r="K1278" s="85">
        <v>92500</v>
      </c>
      <c r="L1278" s="85">
        <v>95000</v>
      </c>
      <c r="M1278" s="85">
        <v>95000</v>
      </c>
      <c r="N1278" s="85">
        <v>95000</v>
      </c>
      <c r="O1278" s="85">
        <v>95000</v>
      </c>
      <c r="P1278" s="85">
        <v>95000</v>
      </c>
      <c r="Q1278" s="85">
        <v>95000</v>
      </c>
      <c r="R1278" s="85">
        <v>95000</v>
      </c>
      <c r="S1278" s="85">
        <v>95000</v>
      </c>
      <c r="T1278" s="85">
        <v>95000</v>
      </c>
      <c r="U1278" s="85">
        <v>95000</v>
      </c>
      <c r="V1278" s="85">
        <v>95000</v>
      </c>
      <c r="W1278" s="85">
        <v>95000</v>
      </c>
      <c r="X1278" s="85">
        <v>95000</v>
      </c>
      <c r="Y1278" s="85">
        <v>95000</v>
      </c>
      <c r="Z1278" s="85">
        <v>95000</v>
      </c>
      <c r="AA1278" s="85">
        <v>95000</v>
      </c>
      <c r="AB1278" s="85"/>
      <c r="AC1278" s="85"/>
      <c r="AD1278" s="85"/>
      <c r="AE1278" s="85"/>
      <c r="AF1278" s="85"/>
      <c r="AG1278" s="85"/>
      <c r="AH1278" s="85"/>
      <c r="AI1278" s="85"/>
      <c r="AJ1278" s="85"/>
      <c r="AK1278" s="85"/>
    </row>
    <row r="1279" spans="1:37" s="9" customFormat="1" x14ac:dyDescent="0.25">
      <c r="B1279" s="128"/>
      <c r="E1279" s="9" t="s">
        <v>1150</v>
      </c>
      <c r="H1279" s="9" t="s">
        <v>1017</v>
      </c>
      <c r="I1279" s="85">
        <v>165000</v>
      </c>
      <c r="J1279" s="85">
        <v>165000</v>
      </c>
      <c r="K1279" s="85">
        <v>165000</v>
      </c>
      <c r="L1279" s="85">
        <v>165000</v>
      </c>
      <c r="M1279" s="85">
        <v>165000</v>
      </c>
      <c r="N1279" s="85">
        <v>165000</v>
      </c>
      <c r="O1279" s="85">
        <v>165000</v>
      </c>
      <c r="P1279" s="85">
        <v>165000</v>
      </c>
      <c r="Q1279" s="85">
        <v>165000</v>
      </c>
      <c r="R1279" s="85">
        <v>165000</v>
      </c>
      <c r="S1279" s="85">
        <v>165000</v>
      </c>
      <c r="T1279" s="85">
        <v>165000</v>
      </c>
      <c r="U1279" s="85">
        <v>165000</v>
      </c>
      <c r="V1279" s="85">
        <v>165000</v>
      </c>
      <c r="W1279" s="85">
        <v>165000</v>
      </c>
      <c r="X1279" s="85">
        <v>165000</v>
      </c>
      <c r="Y1279" s="85">
        <v>165000</v>
      </c>
      <c r="Z1279" s="85">
        <v>165000</v>
      </c>
      <c r="AA1279" s="85">
        <v>165000</v>
      </c>
      <c r="AB1279" s="85"/>
      <c r="AC1279" s="85"/>
      <c r="AD1279" s="85"/>
      <c r="AE1279" s="85"/>
      <c r="AF1279" s="85"/>
      <c r="AG1279" s="85"/>
      <c r="AH1279" s="85"/>
      <c r="AI1279" s="85"/>
      <c r="AJ1279" s="85"/>
      <c r="AK1279" s="85"/>
    </row>
    <row r="1280" spans="1:37" s="9" customFormat="1" x14ac:dyDescent="0.25">
      <c r="B1280" s="128"/>
      <c r="E1280" s="9" t="s">
        <v>1156</v>
      </c>
      <c r="H1280" s="9" t="s">
        <v>1017</v>
      </c>
      <c r="I1280" s="85">
        <v>11900</v>
      </c>
      <c r="J1280" s="85">
        <v>11900</v>
      </c>
      <c r="K1280" s="85">
        <v>11900</v>
      </c>
      <c r="L1280" s="85">
        <v>11900</v>
      </c>
      <c r="M1280" s="85">
        <v>11900</v>
      </c>
      <c r="N1280" s="85">
        <v>11900</v>
      </c>
      <c r="O1280" s="85">
        <v>11900</v>
      </c>
      <c r="P1280" s="85">
        <v>11900</v>
      </c>
      <c r="Q1280" s="85">
        <v>11900</v>
      </c>
      <c r="R1280" s="85">
        <v>11900</v>
      </c>
      <c r="S1280" s="85">
        <v>11900</v>
      </c>
      <c r="T1280" s="85">
        <v>11900</v>
      </c>
      <c r="U1280" s="85">
        <v>11900</v>
      </c>
      <c r="V1280" s="85">
        <v>11900</v>
      </c>
      <c r="W1280" s="85">
        <v>11900</v>
      </c>
      <c r="X1280" s="85">
        <v>11900</v>
      </c>
      <c r="Y1280" s="85">
        <v>11900</v>
      </c>
      <c r="Z1280" s="85">
        <v>11900</v>
      </c>
      <c r="AA1280" s="85">
        <v>11900</v>
      </c>
      <c r="AB1280" s="85"/>
      <c r="AC1280" s="85"/>
      <c r="AD1280" s="85"/>
      <c r="AE1280" s="85"/>
      <c r="AF1280" s="85"/>
      <c r="AG1280" s="85"/>
      <c r="AH1280" s="85"/>
      <c r="AI1280" s="85"/>
      <c r="AJ1280" s="85"/>
      <c r="AK1280" s="85"/>
    </row>
    <row r="1281" spans="1:37" s="9" customFormat="1" x14ac:dyDescent="0.25">
      <c r="B1281" s="128"/>
      <c r="E1281" s="9" t="s">
        <v>1157</v>
      </c>
      <c r="H1281" s="9" t="s">
        <v>1017</v>
      </c>
      <c r="I1281" s="85"/>
      <c r="J1281" s="85"/>
      <c r="K1281" s="85">
        <v>3647</v>
      </c>
      <c r="L1281" s="85">
        <v>3647</v>
      </c>
      <c r="M1281" s="85">
        <v>3647</v>
      </c>
      <c r="N1281" s="85">
        <v>3647</v>
      </c>
      <c r="O1281" s="85">
        <v>3647</v>
      </c>
      <c r="P1281" s="85">
        <v>3647</v>
      </c>
      <c r="Q1281" s="85">
        <v>3647</v>
      </c>
      <c r="R1281" s="85">
        <v>3647</v>
      </c>
      <c r="S1281" s="85">
        <v>3647</v>
      </c>
      <c r="T1281" s="85">
        <v>3647</v>
      </c>
      <c r="U1281" s="85">
        <v>3647</v>
      </c>
      <c r="V1281" s="85">
        <v>3647</v>
      </c>
      <c r="W1281" s="85">
        <v>3647</v>
      </c>
      <c r="X1281" s="85">
        <v>3647</v>
      </c>
      <c r="Y1281" s="85">
        <v>3647</v>
      </c>
      <c r="Z1281" s="85">
        <v>3647</v>
      </c>
      <c r="AA1281" s="85">
        <v>3647</v>
      </c>
      <c r="AB1281" s="85"/>
      <c r="AC1281" s="85"/>
      <c r="AD1281" s="85"/>
      <c r="AE1281" s="85"/>
      <c r="AF1281" s="85"/>
      <c r="AG1281" s="85"/>
      <c r="AH1281" s="85"/>
      <c r="AI1281" s="85"/>
      <c r="AJ1281" s="85"/>
      <c r="AK1281" s="85"/>
    </row>
    <row r="1282" spans="1:37" s="9" customFormat="1" x14ac:dyDescent="0.25">
      <c r="B1282" s="128"/>
      <c r="E1282" s="9" t="s">
        <v>1158</v>
      </c>
      <c r="H1282" s="9" t="s">
        <v>1017</v>
      </c>
      <c r="I1282" s="85"/>
      <c r="J1282" s="283"/>
      <c r="K1282" s="283"/>
      <c r="L1282" s="283"/>
      <c r="M1282" s="283"/>
      <c r="N1282" s="283"/>
      <c r="O1282" s="85"/>
      <c r="P1282" s="85"/>
      <c r="Q1282" s="85"/>
      <c r="R1282" s="85"/>
      <c r="S1282" s="85"/>
      <c r="T1282" s="85"/>
      <c r="U1282" s="85"/>
      <c r="V1282" s="85"/>
      <c r="W1282" s="85"/>
      <c r="X1282" s="85"/>
      <c r="Y1282" s="85"/>
      <c r="Z1282" s="85"/>
      <c r="AA1282" s="85"/>
      <c r="AB1282" s="85"/>
      <c r="AC1282" s="85"/>
      <c r="AD1282" s="85"/>
      <c r="AE1282" s="85"/>
      <c r="AF1282" s="85"/>
      <c r="AG1282" s="85"/>
      <c r="AH1282" s="85"/>
      <c r="AI1282" s="85"/>
      <c r="AJ1282" s="85"/>
      <c r="AK1282" s="85"/>
    </row>
    <row r="1283" spans="1:37" s="9" customFormat="1" x14ac:dyDescent="0.25">
      <c r="B1283" s="128"/>
      <c r="E1283" s="9" t="s">
        <v>1550</v>
      </c>
      <c r="H1283" s="9" t="s">
        <v>1017</v>
      </c>
      <c r="I1283" s="85"/>
      <c r="J1283" s="283"/>
      <c r="K1283" s="283"/>
      <c r="L1283" s="283"/>
      <c r="M1283" s="283"/>
      <c r="N1283" s="283"/>
      <c r="O1283" s="85"/>
      <c r="P1283" s="85"/>
      <c r="Q1283" s="85"/>
      <c r="R1283" s="85"/>
      <c r="S1283" s="85"/>
      <c r="T1283" s="85"/>
      <c r="U1283" s="85"/>
      <c r="V1283" s="85">
        <v>4256</v>
      </c>
      <c r="W1283" s="85">
        <v>4256</v>
      </c>
      <c r="X1283" s="85">
        <v>4256</v>
      </c>
      <c r="Y1283" s="85">
        <v>4256</v>
      </c>
      <c r="Z1283" s="85">
        <v>0</v>
      </c>
      <c r="AA1283" s="85">
        <v>0</v>
      </c>
      <c r="AB1283" s="85"/>
      <c r="AC1283" s="85"/>
      <c r="AD1283" s="85"/>
      <c r="AE1283" s="85"/>
      <c r="AF1283" s="85"/>
      <c r="AG1283" s="85"/>
      <c r="AH1283" s="85"/>
      <c r="AI1283" s="85"/>
      <c r="AJ1283" s="85"/>
      <c r="AK1283" s="85"/>
    </row>
    <row r="1284" spans="1:37" s="109" customFormat="1" x14ac:dyDescent="0.25">
      <c r="B1284" s="110"/>
      <c r="D1284" s="109" t="s">
        <v>138</v>
      </c>
      <c r="I1284" s="111">
        <f>SUM(I1285:I1294)</f>
        <v>109147</v>
      </c>
      <c r="J1284" s="111">
        <f t="shared" ref="J1284:AK1284" si="195">SUM(J1285:J1294)</f>
        <v>132024</v>
      </c>
      <c r="K1284" s="111">
        <f t="shared" si="195"/>
        <v>132024</v>
      </c>
      <c r="L1284" s="111">
        <f t="shared" si="195"/>
        <v>165574</v>
      </c>
      <c r="M1284" s="111">
        <f t="shared" si="195"/>
        <v>205943</v>
      </c>
      <c r="N1284" s="111">
        <f t="shared" si="195"/>
        <v>205943</v>
      </c>
      <c r="O1284" s="111">
        <f t="shared" si="195"/>
        <v>205943</v>
      </c>
      <c r="P1284" s="111">
        <f t="shared" si="195"/>
        <v>205943</v>
      </c>
      <c r="Q1284" s="111">
        <f t="shared" si="195"/>
        <v>205943</v>
      </c>
      <c r="R1284" s="111">
        <f t="shared" si="195"/>
        <v>205943</v>
      </c>
      <c r="S1284" s="111">
        <f t="shared" si="195"/>
        <v>205943</v>
      </c>
      <c r="T1284" s="111">
        <f t="shared" si="195"/>
        <v>205943</v>
      </c>
      <c r="U1284" s="111">
        <f t="shared" si="195"/>
        <v>205943</v>
      </c>
      <c r="V1284" s="111">
        <f t="shared" si="195"/>
        <v>205943</v>
      </c>
      <c r="W1284" s="111">
        <f t="shared" si="195"/>
        <v>205943</v>
      </c>
      <c r="X1284" s="111">
        <f t="shared" si="195"/>
        <v>205943</v>
      </c>
      <c r="Y1284" s="111">
        <f t="shared" si="195"/>
        <v>287362</v>
      </c>
      <c r="Z1284" s="111">
        <f t="shared" si="195"/>
        <v>287362</v>
      </c>
      <c r="AA1284" s="111">
        <f t="shared" si="195"/>
        <v>288058</v>
      </c>
      <c r="AB1284" s="111">
        <f t="shared" si="195"/>
        <v>0</v>
      </c>
      <c r="AC1284" s="111">
        <f t="shared" si="195"/>
        <v>0</v>
      </c>
      <c r="AD1284" s="111">
        <f t="shared" si="195"/>
        <v>0</v>
      </c>
      <c r="AE1284" s="111">
        <f t="shared" si="195"/>
        <v>0</v>
      </c>
      <c r="AF1284" s="111">
        <f t="shared" si="195"/>
        <v>0</v>
      </c>
      <c r="AG1284" s="111">
        <f t="shared" si="195"/>
        <v>0</v>
      </c>
      <c r="AH1284" s="111">
        <f t="shared" si="195"/>
        <v>0</v>
      </c>
      <c r="AI1284" s="111">
        <f t="shared" si="195"/>
        <v>0</v>
      </c>
      <c r="AJ1284" s="111">
        <f t="shared" si="195"/>
        <v>0</v>
      </c>
      <c r="AK1284" s="111">
        <f t="shared" si="195"/>
        <v>0</v>
      </c>
    </row>
    <row r="1285" spans="1:37" s="9" customFormat="1" x14ac:dyDescent="0.25">
      <c r="B1285" s="128"/>
      <c r="E1285" s="9" t="s">
        <v>1151</v>
      </c>
      <c r="H1285" s="9" t="s">
        <v>1017</v>
      </c>
      <c r="I1285" s="85"/>
      <c r="J1285" s="283"/>
      <c r="K1285" s="283"/>
      <c r="L1285" s="283"/>
      <c r="M1285" s="283"/>
      <c r="N1285" s="283"/>
      <c r="O1285" s="85"/>
      <c r="P1285" s="85"/>
      <c r="Q1285" s="85"/>
      <c r="R1285" s="85"/>
      <c r="S1285" s="85"/>
      <c r="T1285" s="85"/>
      <c r="U1285" s="85"/>
      <c r="V1285" s="85"/>
      <c r="W1285" s="85"/>
      <c r="X1285" s="85"/>
      <c r="Y1285" s="85">
        <v>81419</v>
      </c>
      <c r="Z1285" s="85">
        <v>81419</v>
      </c>
      <c r="AA1285" s="85">
        <v>81419</v>
      </c>
      <c r="AB1285" s="85"/>
      <c r="AC1285" s="85"/>
      <c r="AD1285" s="85"/>
      <c r="AE1285" s="85"/>
      <c r="AF1285" s="85"/>
      <c r="AG1285" s="85"/>
      <c r="AH1285" s="85"/>
      <c r="AI1285" s="85"/>
      <c r="AJ1285" s="85"/>
      <c r="AK1285" s="85"/>
    </row>
    <row r="1286" spans="1:37" s="9" customFormat="1" x14ac:dyDescent="0.25">
      <c r="B1286" s="128"/>
      <c r="E1286" s="9" t="s">
        <v>1152</v>
      </c>
      <c r="H1286" s="9" t="s">
        <v>1017</v>
      </c>
      <c r="I1286" s="85">
        <v>43848</v>
      </c>
      <c r="J1286" s="85">
        <v>43848</v>
      </c>
      <c r="K1286" s="85">
        <v>43848</v>
      </c>
      <c r="L1286" s="85">
        <v>43848</v>
      </c>
      <c r="M1286" s="85">
        <v>43848</v>
      </c>
      <c r="N1286" s="85">
        <v>43848</v>
      </c>
      <c r="O1286" s="85">
        <v>43848</v>
      </c>
      <c r="P1286" s="85">
        <v>43848</v>
      </c>
      <c r="Q1286" s="85">
        <v>43848</v>
      </c>
      <c r="R1286" s="85">
        <v>43848</v>
      </c>
      <c r="S1286" s="85">
        <v>43848</v>
      </c>
      <c r="T1286" s="85">
        <v>43848</v>
      </c>
      <c r="U1286" s="85">
        <v>43848</v>
      </c>
      <c r="V1286" s="85">
        <v>43848</v>
      </c>
      <c r="W1286" s="85">
        <v>43848</v>
      </c>
      <c r="X1286" s="85">
        <v>43848</v>
      </c>
      <c r="Y1286" s="85">
        <v>43848</v>
      </c>
      <c r="Z1286" s="85">
        <v>43848</v>
      </c>
      <c r="AA1286" s="85">
        <f>Z1286+696</f>
        <v>44544</v>
      </c>
      <c r="AB1286" s="85"/>
      <c r="AC1286" s="85"/>
      <c r="AD1286" s="85"/>
      <c r="AE1286" s="85"/>
      <c r="AF1286" s="85"/>
      <c r="AG1286" s="85"/>
      <c r="AH1286" s="85"/>
      <c r="AI1286" s="85"/>
      <c r="AJ1286" s="85"/>
      <c r="AK1286" s="85"/>
    </row>
    <row r="1287" spans="1:37" s="9" customFormat="1" x14ac:dyDescent="0.25">
      <c r="B1287" s="128"/>
      <c r="E1287" s="9" t="s">
        <v>1153</v>
      </c>
      <c r="H1287" s="9" t="s">
        <v>1017</v>
      </c>
      <c r="I1287" s="85">
        <v>10700</v>
      </c>
      <c r="J1287" s="85">
        <v>10700</v>
      </c>
      <c r="K1287" s="85">
        <v>10700</v>
      </c>
      <c r="L1287" s="85">
        <v>10700</v>
      </c>
      <c r="M1287" s="85">
        <v>10700</v>
      </c>
      <c r="N1287" s="85">
        <v>10700</v>
      </c>
      <c r="O1287" s="85">
        <v>10700</v>
      </c>
      <c r="P1287" s="85">
        <v>10700</v>
      </c>
      <c r="Q1287" s="85">
        <v>10700</v>
      </c>
      <c r="R1287" s="85">
        <v>10700</v>
      </c>
      <c r="S1287" s="85">
        <v>10700</v>
      </c>
      <c r="T1287" s="85">
        <v>10700</v>
      </c>
      <c r="U1287" s="85">
        <v>10700</v>
      </c>
      <c r="V1287" s="85">
        <v>10700</v>
      </c>
      <c r="W1287" s="85">
        <v>10700</v>
      </c>
      <c r="X1287" s="85">
        <v>10700</v>
      </c>
      <c r="Y1287" s="85">
        <v>10700</v>
      </c>
      <c r="Z1287" s="85">
        <v>10700</v>
      </c>
      <c r="AA1287" s="85">
        <v>10700</v>
      </c>
      <c r="AB1287" s="85"/>
      <c r="AC1287" s="85"/>
      <c r="AD1287" s="85"/>
      <c r="AE1287" s="85"/>
      <c r="AF1287" s="85"/>
      <c r="AG1287" s="85"/>
      <c r="AH1287" s="85"/>
      <c r="AI1287" s="85"/>
      <c r="AJ1287" s="85"/>
      <c r="AK1287" s="85"/>
    </row>
    <row r="1288" spans="1:37" s="9" customFormat="1" x14ac:dyDescent="0.25">
      <c r="B1288" s="128"/>
      <c r="E1288" s="9" t="s">
        <v>1154</v>
      </c>
      <c r="H1288" s="9" t="s">
        <v>1017</v>
      </c>
      <c r="I1288" s="85">
        <v>6800</v>
      </c>
      <c r="J1288" s="85">
        <v>6800</v>
      </c>
      <c r="K1288" s="85">
        <v>6800</v>
      </c>
      <c r="L1288" s="85">
        <v>6800</v>
      </c>
      <c r="M1288" s="85">
        <v>6800</v>
      </c>
      <c r="N1288" s="85">
        <v>6800</v>
      </c>
      <c r="O1288" s="85">
        <v>6800</v>
      </c>
      <c r="P1288" s="85">
        <v>6800</v>
      </c>
      <c r="Q1288" s="85">
        <v>6800</v>
      </c>
      <c r="R1288" s="85">
        <v>6800</v>
      </c>
      <c r="S1288" s="85">
        <v>6800</v>
      </c>
      <c r="T1288" s="85">
        <v>6800</v>
      </c>
      <c r="U1288" s="85">
        <v>6800</v>
      </c>
      <c r="V1288" s="85">
        <v>6800</v>
      </c>
      <c r="W1288" s="85">
        <v>6800</v>
      </c>
      <c r="X1288" s="85">
        <v>6800</v>
      </c>
      <c r="Y1288" s="85">
        <v>6800</v>
      </c>
      <c r="Z1288" s="85">
        <v>6800</v>
      </c>
      <c r="AA1288" s="85">
        <v>6800</v>
      </c>
      <c r="AB1288" s="85"/>
      <c r="AC1288" s="85"/>
      <c r="AD1288" s="85"/>
      <c r="AE1288" s="85"/>
      <c r="AF1288" s="85"/>
      <c r="AG1288" s="85"/>
      <c r="AH1288" s="85"/>
      <c r="AI1288" s="85"/>
      <c r="AJ1288" s="85"/>
      <c r="AK1288" s="85"/>
    </row>
    <row r="1289" spans="1:37" s="9" customFormat="1" x14ac:dyDescent="0.25">
      <c r="B1289" s="128"/>
      <c r="E1289" s="9" t="s">
        <v>1155</v>
      </c>
      <c r="H1289" s="9" t="s">
        <v>1017</v>
      </c>
      <c r="I1289" s="85">
        <v>15000</v>
      </c>
      <c r="J1289" s="85">
        <v>15000</v>
      </c>
      <c r="K1289" s="85">
        <v>15000</v>
      </c>
      <c r="L1289" s="85">
        <v>15000</v>
      </c>
      <c r="M1289" s="85">
        <v>15000</v>
      </c>
      <c r="N1289" s="85">
        <v>15000</v>
      </c>
      <c r="O1289" s="85">
        <v>15000</v>
      </c>
      <c r="P1289" s="85">
        <v>15000</v>
      </c>
      <c r="Q1289" s="85">
        <v>15000</v>
      </c>
      <c r="R1289" s="85">
        <v>15000</v>
      </c>
      <c r="S1289" s="85">
        <v>15000</v>
      </c>
      <c r="T1289" s="85">
        <v>15000</v>
      </c>
      <c r="U1289" s="85">
        <v>15000</v>
      </c>
      <c r="V1289" s="85">
        <v>15000</v>
      </c>
      <c r="W1289" s="85">
        <v>15000</v>
      </c>
      <c r="X1289" s="85">
        <v>15000</v>
      </c>
      <c r="Y1289" s="85">
        <v>15000</v>
      </c>
      <c r="Z1289" s="85">
        <v>15000</v>
      </c>
      <c r="AA1289" s="85">
        <v>15000</v>
      </c>
      <c r="AB1289" s="85"/>
      <c r="AC1289" s="85"/>
      <c r="AD1289" s="85"/>
      <c r="AE1289" s="85"/>
      <c r="AF1289" s="85"/>
      <c r="AG1289" s="85"/>
      <c r="AH1289" s="85"/>
      <c r="AI1289" s="85"/>
      <c r="AJ1289" s="85"/>
      <c r="AK1289" s="85"/>
    </row>
    <row r="1290" spans="1:37" s="9" customFormat="1" x14ac:dyDescent="0.25">
      <c r="B1290" s="128"/>
      <c r="E1290" s="9" t="s">
        <v>1958</v>
      </c>
      <c r="H1290" s="9" t="s">
        <v>1017</v>
      </c>
      <c r="I1290" s="85"/>
      <c r="J1290" s="283"/>
      <c r="K1290" s="283"/>
      <c r="L1290" s="85">
        <f>4999+6106+11167+11278</f>
        <v>33550</v>
      </c>
      <c r="M1290" s="85">
        <f>L1290+3880+5280+8213+11460+11536</f>
        <v>73919</v>
      </c>
      <c r="N1290" s="85">
        <v>73919</v>
      </c>
      <c r="O1290" s="85">
        <v>73919</v>
      </c>
      <c r="P1290" s="85">
        <v>73919</v>
      </c>
      <c r="Q1290" s="85">
        <v>73919</v>
      </c>
      <c r="R1290" s="85">
        <v>73919</v>
      </c>
      <c r="S1290" s="85">
        <v>73919</v>
      </c>
      <c r="T1290" s="85">
        <v>73919</v>
      </c>
      <c r="U1290" s="85">
        <v>73919</v>
      </c>
      <c r="V1290" s="85">
        <v>73919</v>
      </c>
      <c r="W1290" s="85">
        <v>73919</v>
      </c>
      <c r="X1290" s="85">
        <v>73919</v>
      </c>
      <c r="Y1290" s="85">
        <v>73919</v>
      </c>
      <c r="Z1290" s="85">
        <v>73919</v>
      </c>
      <c r="AA1290" s="85">
        <v>73919</v>
      </c>
      <c r="AB1290" s="85"/>
      <c r="AC1290" s="85"/>
      <c r="AD1290" s="85"/>
      <c r="AE1290" s="85"/>
      <c r="AF1290" s="85"/>
      <c r="AG1290" s="85"/>
      <c r="AH1290" s="85"/>
      <c r="AI1290" s="85"/>
      <c r="AJ1290" s="85"/>
      <c r="AK1290" s="85"/>
    </row>
    <row r="1291" spans="1:37" s="9" customFormat="1" x14ac:dyDescent="0.25">
      <c r="B1291" s="128"/>
      <c r="E1291" s="9" t="s">
        <v>1959</v>
      </c>
      <c r="I1291" s="85"/>
      <c r="J1291" s="283"/>
      <c r="K1291" s="283"/>
      <c r="L1291" s="85"/>
      <c r="M1291" s="85"/>
      <c r="N1291" s="283"/>
      <c r="O1291" s="85"/>
      <c r="P1291" s="85"/>
      <c r="Q1291" s="85"/>
      <c r="R1291" s="85"/>
      <c r="S1291" s="85"/>
      <c r="T1291" s="85"/>
      <c r="U1291" s="85"/>
      <c r="V1291" s="85"/>
      <c r="W1291" s="85"/>
      <c r="X1291" s="85"/>
      <c r="Y1291" s="85"/>
      <c r="Z1291" s="85"/>
      <c r="AA1291" s="85"/>
      <c r="AB1291" s="85"/>
      <c r="AC1291" s="85"/>
      <c r="AD1291" s="85"/>
      <c r="AE1291" s="85"/>
      <c r="AF1291" s="85"/>
      <c r="AG1291" s="85"/>
      <c r="AH1291" s="85"/>
      <c r="AI1291" s="85"/>
      <c r="AJ1291" s="85"/>
      <c r="AK1291" s="85"/>
    </row>
    <row r="1292" spans="1:37" s="9" customFormat="1" x14ac:dyDescent="0.25">
      <c r="B1292" s="128"/>
      <c r="E1292" s="9" t="s">
        <v>1551</v>
      </c>
      <c r="H1292" s="9" t="s">
        <v>1017</v>
      </c>
      <c r="I1292" s="85"/>
      <c r="J1292" s="283"/>
      <c r="K1292" s="283"/>
      <c r="L1292" s="283"/>
      <c r="M1292" s="283"/>
      <c r="N1292" s="283"/>
      <c r="O1292" s="85"/>
      <c r="P1292" s="85"/>
      <c r="Q1292" s="85"/>
      <c r="R1292" s="85"/>
      <c r="S1292" s="85"/>
      <c r="T1292" s="85"/>
      <c r="U1292" s="85"/>
      <c r="V1292" s="85"/>
      <c r="W1292" s="85"/>
      <c r="X1292" s="85"/>
      <c r="Y1292" s="85"/>
      <c r="Z1292" s="85"/>
      <c r="AA1292" s="85"/>
      <c r="AB1292" s="85"/>
      <c r="AC1292" s="85"/>
      <c r="AD1292" s="85"/>
      <c r="AE1292" s="85"/>
      <c r="AF1292" s="85"/>
      <c r="AG1292" s="85"/>
      <c r="AH1292" s="85"/>
      <c r="AI1292" s="85"/>
      <c r="AJ1292" s="85"/>
      <c r="AK1292" s="85"/>
    </row>
    <row r="1293" spans="1:37" s="9" customFormat="1" x14ac:dyDescent="0.25">
      <c r="B1293" s="128"/>
      <c r="E1293" s="9" t="s">
        <v>1956</v>
      </c>
      <c r="H1293" s="9" t="s">
        <v>1017</v>
      </c>
      <c r="I1293" s="85"/>
      <c r="J1293" s="283"/>
      <c r="K1293" s="283"/>
      <c r="L1293" s="283"/>
      <c r="M1293" s="283"/>
      <c r="N1293" s="283"/>
      <c r="O1293" s="85"/>
      <c r="P1293" s="85"/>
      <c r="Q1293" s="85"/>
      <c r="R1293" s="85"/>
      <c r="S1293" s="85"/>
      <c r="T1293" s="85"/>
      <c r="U1293" s="85"/>
      <c r="V1293" s="85"/>
      <c r="W1293" s="85"/>
      <c r="X1293" s="85"/>
      <c r="Y1293" s="85"/>
      <c r="Z1293" s="85"/>
      <c r="AA1293" s="85"/>
      <c r="AB1293" s="85"/>
      <c r="AC1293" s="85"/>
      <c r="AD1293" s="85"/>
      <c r="AE1293" s="85"/>
      <c r="AF1293" s="85"/>
      <c r="AG1293" s="85"/>
      <c r="AH1293" s="85"/>
      <c r="AI1293" s="85"/>
      <c r="AJ1293" s="85"/>
      <c r="AK1293" s="85"/>
    </row>
    <row r="1294" spans="1:37" s="9" customFormat="1" x14ac:dyDescent="0.25">
      <c r="B1294" s="128"/>
      <c r="E1294" s="9" t="s">
        <v>1957</v>
      </c>
      <c r="H1294" s="9" t="s">
        <v>1017</v>
      </c>
      <c r="I1294" s="85">
        <f>J1294-22877</f>
        <v>32799</v>
      </c>
      <c r="J1294" s="85">
        <v>55676</v>
      </c>
      <c r="K1294" s="85">
        <v>55676</v>
      </c>
      <c r="L1294" s="85">
        <v>55676</v>
      </c>
      <c r="M1294" s="85">
        <v>55676</v>
      </c>
      <c r="N1294" s="85">
        <v>55676</v>
      </c>
      <c r="O1294" s="85">
        <v>55676</v>
      </c>
      <c r="P1294" s="85">
        <v>55676</v>
      </c>
      <c r="Q1294" s="85">
        <v>55676</v>
      </c>
      <c r="R1294" s="85">
        <v>55676</v>
      </c>
      <c r="S1294" s="85">
        <v>55676</v>
      </c>
      <c r="T1294" s="85">
        <v>55676</v>
      </c>
      <c r="U1294" s="85">
        <v>55676</v>
      </c>
      <c r="V1294" s="85">
        <v>55676</v>
      </c>
      <c r="W1294" s="85">
        <v>55676</v>
      </c>
      <c r="X1294" s="85">
        <v>55676</v>
      </c>
      <c r="Y1294" s="85">
        <v>55676</v>
      </c>
      <c r="Z1294" s="85">
        <v>55676</v>
      </c>
      <c r="AA1294" s="85">
        <v>55676</v>
      </c>
      <c r="AB1294" s="85"/>
      <c r="AC1294" s="85"/>
      <c r="AD1294" s="85"/>
      <c r="AE1294" s="85"/>
      <c r="AF1294" s="85"/>
      <c r="AG1294" s="85"/>
      <c r="AH1294" s="85"/>
      <c r="AI1294" s="85"/>
      <c r="AJ1294" s="85"/>
      <c r="AK1294" s="85"/>
    </row>
    <row r="1295" spans="1:37" s="3" customFormat="1" x14ac:dyDescent="0.25">
      <c r="B1295" s="4"/>
      <c r="J1295" s="73"/>
      <c r="K1295" s="74"/>
      <c r="L1295" s="74"/>
      <c r="M1295" s="74"/>
      <c r="N1295" s="74"/>
      <c r="O1295" s="74"/>
      <c r="P1295" s="74"/>
      <c r="Q1295" s="74"/>
      <c r="R1295" s="74"/>
      <c r="S1295" s="74"/>
      <c r="T1295" s="74"/>
      <c r="U1295" s="74"/>
      <c r="V1295" s="74"/>
      <c r="W1295" s="74"/>
    </row>
    <row r="1296" spans="1:37" s="37" customFormat="1" ht="17.25" x14ac:dyDescent="0.3">
      <c r="A1296" s="37" t="s">
        <v>872</v>
      </c>
    </row>
    <row r="1297" spans="2:24" x14ac:dyDescent="0.25">
      <c r="B1297" s="64" t="s">
        <v>31</v>
      </c>
      <c r="C1297" t="s">
        <v>1552</v>
      </c>
    </row>
    <row r="1298" spans="2:24" x14ac:dyDescent="0.25">
      <c r="B1298" s="64" t="s">
        <v>32</v>
      </c>
      <c r="C1298" s="195" t="s">
        <v>873</v>
      </c>
    </row>
    <row r="1299" spans="2:24" x14ac:dyDescent="0.25">
      <c r="B1299" s="64" t="s">
        <v>331</v>
      </c>
      <c r="C1299" s="5" t="s">
        <v>1233</v>
      </c>
    </row>
    <row r="1300" spans="2:24" x14ac:dyDescent="0.25">
      <c r="B1300" s="64" t="s">
        <v>332</v>
      </c>
      <c r="C1300" t="s">
        <v>874</v>
      </c>
    </row>
    <row r="1301" spans="2:24" x14ac:dyDescent="0.25">
      <c r="B1301" s="64" t="s">
        <v>334</v>
      </c>
      <c r="C1301" t="s">
        <v>941</v>
      </c>
    </row>
    <row r="1302" spans="2:24" s="34" customFormat="1" ht="15.75" thickBot="1" x14ac:dyDescent="0.3">
      <c r="B1302" s="65"/>
      <c r="C1302" s="34" t="s">
        <v>875</v>
      </c>
    </row>
    <row r="1303" spans="2:24" s="13" customFormat="1" ht="15.75" thickTop="1" x14ac:dyDescent="0.25">
      <c r="B1303" s="14"/>
      <c r="C1303" s="9" t="s">
        <v>877</v>
      </c>
      <c r="G1303" s="9" t="s">
        <v>878</v>
      </c>
      <c r="H1303" s="9"/>
      <c r="J1303" s="75"/>
      <c r="K1303" s="75"/>
      <c r="L1303" s="75"/>
      <c r="M1303" s="75"/>
      <c r="N1303" s="75"/>
    </row>
    <row r="1304" spans="2:24" x14ac:dyDescent="0.25">
      <c r="C1304" s="15" t="s">
        <v>876</v>
      </c>
      <c r="J1304" s="69"/>
      <c r="K1304" s="69"/>
      <c r="L1304" s="69"/>
      <c r="M1304" s="69"/>
      <c r="N1304" s="69"/>
    </row>
    <row r="1305" spans="2:24" x14ac:dyDescent="0.25">
      <c r="D1305" t="s">
        <v>879</v>
      </c>
      <c r="G1305" t="s">
        <v>897</v>
      </c>
      <c r="J1305" s="69"/>
      <c r="K1305" s="69"/>
      <c r="L1305" s="69"/>
      <c r="M1305" s="69"/>
      <c r="N1305" s="69"/>
      <c r="T1305" t="s">
        <v>323</v>
      </c>
    </row>
    <row r="1306" spans="2:24" x14ac:dyDescent="0.25">
      <c r="D1306" t="s">
        <v>880</v>
      </c>
      <c r="G1306" t="s">
        <v>898</v>
      </c>
      <c r="T1306" t="s">
        <v>325</v>
      </c>
    </row>
    <row r="1307" spans="2:24" x14ac:dyDescent="0.25">
      <c r="D1307" t="s">
        <v>881</v>
      </c>
      <c r="G1307" t="s">
        <v>899</v>
      </c>
      <c r="T1307" s="118">
        <v>0.25</v>
      </c>
      <c r="U1307" t="s">
        <v>324</v>
      </c>
    </row>
    <row r="1308" spans="2:24" x14ac:dyDescent="0.25">
      <c r="D1308" t="s">
        <v>882</v>
      </c>
      <c r="G1308" t="s">
        <v>900</v>
      </c>
      <c r="T1308" s="118">
        <v>0.25</v>
      </c>
      <c r="U1308" s="118">
        <v>0.5</v>
      </c>
      <c r="V1308" t="s">
        <v>325</v>
      </c>
    </row>
    <row r="1309" spans="2:24" x14ac:dyDescent="0.25">
      <c r="D1309" t="s">
        <v>883</v>
      </c>
      <c r="G1309" t="s">
        <v>901</v>
      </c>
      <c r="T1309" s="118">
        <v>0.25</v>
      </c>
      <c r="U1309" s="118">
        <v>0.5</v>
      </c>
      <c r="V1309" s="118">
        <v>0.8</v>
      </c>
      <c r="W1309" t="s">
        <v>324</v>
      </c>
    </row>
    <row r="1310" spans="2:24" x14ac:dyDescent="0.25">
      <c r="D1310" t="s">
        <v>884</v>
      </c>
      <c r="G1310" t="s">
        <v>902</v>
      </c>
      <c r="U1310" s="118">
        <v>0.5</v>
      </c>
      <c r="V1310" s="118">
        <v>0.95</v>
      </c>
      <c r="X1310" t="s">
        <v>317</v>
      </c>
    </row>
    <row r="1311" spans="2:24" x14ac:dyDescent="0.25">
      <c r="D1311" t="s">
        <v>964</v>
      </c>
      <c r="G1311" t="s">
        <v>965</v>
      </c>
      <c r="U1311" s="118">
        <v>0.1</v>
      </c>
      <c r="V1311" s="118">
        <v>0.1</v>
      </c>
    </row>
    <row r="1312" spans="2:24" x14ac:dyDescent="0.25">
      <c r="D1312" t="s">
        <v>885</v>
      </c>
      <c r="G1312" t="s">
        <v>899</v>
      </c>
      <c r="W1312" t="s">
        <v>318</v>
      </c>
    </row>
    <row r="1313" spans="2:28" x14ac:dyDescent="0.25">
      <c r="D1313" t="s">
        <v>886</v>
      </c>
      <c r="G1313" t="s">
        <v>903</v>
      </c>
      <c r="W1313" t="s">
        <v>320</v>
      </c>
    </row>
    <row r="1314" spans="2:28" x14ac:dyDescent="0.25">
      <c r="D1314" t="s">
        <v>887</v>
      </c>
      <c r="G1314" t="s">
        <v>904</v>
      </c>
      <c r="X1314" t="s">
        <v>316</v>
      </c>
    </row>
    <row r="1315" spans="2:28" x14ac:dyDescent="0.25">
      <c r="D1315" t="s">
        <v>888</v>
      </c>
      <c r="G1315" t="s">
        <v>905</v>
      </c>
      <c r="W1315" t="s">
        <v>322</v>
      </c>
    </row>
    <row r="1316" spans="2:28" x14ac:dyDescent="0.25">
      <c r="D1316" t="s">
        <v>889</v>
      </c>
      <c r="G1316" t="s">
        <v>906</v>
      </c>
      <c r="W1316" t="s">
        <v>324</v>
      </c>
    </row>
    <row r="1317" spans="2:28" x14ac:dyDescent="0.25">
      <c r="D1317" t="s">
        <v>890</v>
      </c>
      <c r="G1317" t="s">
        <v>907</v>
      </c>
      <c r="W1317" t="s">
        <v>325</v>
      </c>
    </row>
    <row r="1318" spans="2:28" x14ac:dyDescent="0.25">
      <c r="D1318" t="s">
        <v>891</v>
      </c>
      <c r="G1318" t="s">
        <v>899</v>
      </c>
      <c r="W1318" s="118">
        <v>0.25</v>
      </c>
      <c r="X1318" t="s">
        <v>314</v>
      </c>
    </row>
    <row r="1319" spans="2:28" x14ac:dyDescent="0.25">
      <c r="D1319" t="s">
        <v>892</v>
      </c>
      <c r="G1319" t="s">
        <v>908</v>
      </c>
      <c r="X1319" s="118">
        <v>0.05</v>
      </c>
      <c r="Y1319" t="s">
        <v>320</v>
      </c>
    </row>
    <row r="1320" spans="2:28" x14ac:dyDescent="0.25">
      <c r="D1320" t="s">
        <v>893</v>
      </c>
      <c r="G1320" t="s">
        <v>909</v>
      </c>
      <c r="X1320" s="118">
        <v>0.05</v>
      </c>
      <c r="Y1320" t="s">
        <v>320</v>
      </c>
    </row>
    <row r="1321" spans="2:28" x14ac:dyDescent="0.25">
      <c r="D1321" t="s">
        <v>894</v>
      </c>
      <c r="G1321" t="s">
        <v>910</v>
      </c>
      <c r="W1321" s="118">
        <v>0.05</v>
      </c>
      <c r="X1321" s="118">
        <v>0.05</v>
      </c>
      <c r="Y1321" s="118">
        <v>0.75</v>
      </c>
      <c r="Z1321" s="118">
        <v>0.75</v>
      </c>
      <c r="AA1321" s="118">
        <v>0.75</v>
      </c>
    </row>
    <row r="1322" spans="2:28" x14ac:dyDescent="0.25">
      <c r="D1322" t="s">
        <v>895</v>
      </c>
      <c r="G1322" t="s">
        <v>911</v>
      </c>
      <c r="Y1322" s="118">
        <v>0.2</v>
      </c>
      <c r="Z1322" s="118">
        <v>0.25</v>
      </c>
    </row>
    <row r="1323" spans="2:28" x14ac:dyDescent="0.25">
      <c r="D1323" t="s">
        <v>958</v>
      </c>
      <c r="Z1323" s="118"/>
      <c r="AA1323" s="118"/>
    </row>
    <row r="1324" spans="2:28" x14ac:dyDescent="0.25">
      <c r="D1324" t="s">
        <v>957</v>
      </c>
      <c r="G1324" t="s">
        <v>899</v>
      </c>
      <c r="Z1324" s="118"/>
      <c r="AA1324" s="118" t="s">
        <v>320</v>
      </c>
    </row>
    <row r="1325" spans="2:28" s="223" customFormat="1" x14ac:dyDescent="0.25">
      <c r="B1325" s="1"/>
      <c r="D1325" s="223" t="s">
        <v>1968</v>
      </c>
      <c r="Z1325" s="118"/>
      <c r="AA1325" s="118">
        <v>0.05</v>
      </c>
    </row>
    <row r="1326" spans="2:28" s="223" customFormat="1" x14ac:dyDescent="0.25">
      <c r="B1326" s="1"/>
      <c r="D1326" s="223" t="s">
        <v>1969</v>
      </c>
      <c r="Z1326" s="118"/>
      <c r="AA1326" s="118">
        <v>0.1</v>
      </c>
      <c r="AB1326" s="223" t="s">
        <v>318</v>
      </c>
    </row>
    <row r="1327" spans="2:28" s="223" customFormat="1" x14ac:dyDescent="0.25">
      <c r="B1327" s="1"/>
      <c r="D1327" s="223" t="s">
        <v>2050</v>
      </c>
      <c r="Z1327" s="118"/>
      <c r="AA1327" s="118"/>
    </row>
    <row r="1328" spans="2:28" x14ac:dyDescent="0.25">
      <c r="D1328" t="s">
        <v>896</v>
      </c>
      <c r="S1328" t="s">
        <v>912</v>
      </c>
      <c r="T1328" t="s">
        <v>912</v>
      </c>
      <c r="U1328" t="s">
        <v>912</v>
      </c>
      <c r="V1328" t="s">
        <v>912</v>
      </c>
      <c r="W1328" t="s">
        <v>912</v>
      </c>
      <c r="X1328" t="s">
        <v>912</v>
      </c>
      <c r="Y1328" t="s">
        <v>912</v>
      </c>
      <c r="Z1328" t="s">
        <v>912</v>
      </c>
      <c r="AA1328" t="s">
        <v>912</v>
      </c>
    </row>
    <row r="1329" spans="2:27" x14ac:dyDescent="0.25">
      <c r="C1329" s="13" t="s">
        <v>913</v>
      </c>
    </row>
    <row r="1330" spans="2:27" x14ac:dyDescent="0.25">
      <c r="D1330" t="s">
        <v>914</v>
      </c>
      <c r="G1330" t="s">
        <v>926</v>
      </c>
      <c r="S1330" t="s">
        <v>319</v>
      </c>
    </row>
    <row r="1331" spans="2:27" x14ac:dyDescent="0.25">
      <c r="D1331" t="s">
        <v>966</v>
      </c>
      <c r="G1331" t="s">
        <v>967</v>
      </c>
      <c r="T1331" s="118">
        <v>0.33</v>
      </c>
      <c r="U1331" s="118">
        <v>0.67</v>
      </c>
      <c r="V1331" t="s">
        <v>319</v>
      </c>
    </row>
    <row r="1332" spans="2:27" x14ac:dyDescent="0.25">
      <c r="D1332" t="s">
        <v>915</v>
      </c>
      <c r="G1332" t="s">
        <v>926</v>
      </c>
      <c r="T1332" t="s">
        <v>318</v>
      </c>
    </row>
    <row r="1333" spans="2:27" x14ac:dyDescent="0.25">
      <c r="D1333" t="s">
        <v>916</v>
      </c>
      <c r="G1333" t="s">
        <v>927</v>
      </c>
      <c r="W1333" s="118">
        <v>0.25</v>
      </c>
      <c r="X1333" s="118">
        <v>0.5</v>
      </c>
      <c r="Y1333" s="118">
        <v>0.5</v>
      </c>
      <c r="Z1333" s="118">
        <v>0.5</v>
      </c>
      <c r="AA1333" s="118">
        <v>0.7</v>
      </c>
    </row>
    <row r="1334" spans="2:27" x14ac:dyDescent="0.25">
      <c r="D1334" t="s">
        <v>917</v>
      </c>
      <c r="G1334" t="s">
        <v>926</v>
      </c>
      <c r="U1334" t="s">
        <v>318</v>
      </c>
    </row>
    <row r="1335" spans="2:27" x14ac:dyDescent="0.25">
      <c r="D1335" t="s">
        <v>918</v>
      </c>
      <c r="G1335" t="s">
        <v>926</v>
      </c>
      <c r="V1335" t="s">
        <v>321</v>
      </c>
    </row>
    <row r="1336" spans="2:27" x14ac:dyDescent="0.25">
      <c r="D1336" t="s">
        <v>919</v>
      </c>
      <c r="G1336" t="s">
        <v>926</v>
      </c>
      <c r="W1336" t="s">
        <v>317</v>
      </c>
    </row>
    <row r="1337" spans="2:27" x14ac:dyDescent="0.25">
      <c r="D1337" t="s">
        <v>920</v>
      </c>
      <c r="G1337" t="s">
        <v>926</v>
      </c>
      <c r="X1337" t="s">
        <v>317</v>
      </c>
    </row>
    <row r="1338" spans="2:27" x14ac:dyDescent="0.25">
      <c r="D1338" t="s">
        <v>921</v>
      </c>
      <c r="G1338" t="s">
        <v>926</v>
      </c>
      <c r="Y1338" t="s">
        <v>317</v>
      </c>
    </row>
    <row r="1339" spans="2:27" x14ac:dyDescent="0.25">
      <c r="D1339" t="s">
        <v>922</v>
      </c>
      <c r="G1339" t="s">
        <v>926</v>
      </c>
      <c r="Z1339" t="s">
        <v>317</v>
      </c>
    </row>
    <row r="1340" spans="2:27" s="223" customFormat="1" x14ac:dyDescent="0.25">
      <c r="B1340" s="1"/>
      <c r="D1340" s="223" t="s">
        <v>1967</v>
      </c>
      <c r="G1340" s="223" t="s">
        <v>926</v>
      </c>
      <c r="AA1340" s="223" t="s">
        <v>317</v>
      </c>
    </row>
    <row r="1341" spans="2:27" x14ac:dyDescent="0.25">
      <c r="D1341" t="s">
        <v>923</v>
      </c>
      <c r="G1341" t="s">
        <v>928</v>
      </c>
      <c r="Z1341" s="118">
        <v>0.05</v>
      </c>
      <c r="AA1341" s="118" t="s">
        <v>324</v>
      </c>
    </row>
    <row r="1342" spans="2:27" x14ac:dyDescent="0.25">
      <c r="D1342" t="s">
        <v>924</v>
      </c>
      <c r="G1342" t="s">
        <v>929</v>
      </c>
      <c r="Y1342" t="s">
        <v>912</v>
      </c>
      <c r="Z1342" t="s">
        <v>912</v>
      </c>
      <c r="AA1342" t="s">
        <v>912</v>
      </c>
    </row>
    <row r="1343" spans="2:27" x14ac:dyDescent="0.25">
      <c r="D1343" t="s">
        <v>962</v>
      </c>
      <c r="G1343" t="s">
        <v>963</v>
      </c>
      <c r="V1343" t="s">
        <v>912</v>
      </c>
      <c r="W1343" t="s">
        <v>912</v>
      </c>
      <c r="X1343" t="s">
        <v>912</v>
      </c>
      <c r="Y1343" t="s">
        <v>912</v>
      </c>
      <c r="Z1343" t="s">
        <v>912</v>
      </c>
    </row>
    <row r="1344" spans="2:27" x14ac:dyDescent="0.25">
      <c r="D1344" t="s">
        <v>925</v>
      </c>
      <c r="S1344" t="s">
        <v>912</v>
      </c>
      <c r="T1344" t="s">
        <v>912</v>
      </c>
      <c r="U1344" t="s">
        <v>912</v>
      </c>
      <c r="V1344" t="s">
        <v>912</v>
      </c>
      <c r="W1344" t="s">
        <v>912</v>
      </c>
      <c r="X1344" t="s">
        <v>912</v>
      </c>
      <c r="Y1344" t="s">
        <v>912</v>
      </c>
      <c r="Z1344" t="s">
        <v>912</v>
      </c>
      <c r="AA1344" t="s">
        <v>912</v>
      </c>
    </row>
    <row r="1345" spans="3:27" x14ac:dyDescent="0.25">
      <c r="C1345" s="13" t="s">
        <v>930</v>
      </c>
    </row>
    <row r="1346" spans="3:27" x14ac:dyDescent="0.25">
      <c r="D1346" t="s">
        <v>687</v>
      </c>
      <c r="G1346" t="s">
        <v>938</v>
      </c>
      <c r="U1346" s="118">
        <v>0.25</v>
      </c>
      <c r="V1346" t="s">
        <v>322</v>
      </c>
    </row>
    <row r="1347" spans="3:27" x14ac:dyDescent="0.25">
      <c r="D1347" t="s">
        <v>931</v>
      </c>
      <c r="G1347" t="s">
        <v>939</v>
      </c>
      <c r="V1347" t="s">
        <v>317</v>
      </c>
    </row>
    <row r="1348" spans="3:27" x14ac:dyDescent="0.25">
      <c r="D1348" t="s">
        <v>932</v>
      </c>
      <c r="G1348" t="s">
        <v>940</v>
      </c>
      <c r="X1348" t="s">
        <v>325</v>
      </c>
    </row>
    <row r="1349" spans="3:27" x14ac:dyDescent="0.25">
      <c r="D1349" t="s">
        <v>933</v>
      </c>
      <c r="Y1349" s="118">
        <v>0.75</v>
      </c>
      <c r="Z1349" t="s">
        <v>314</v>
      </c>
    </row>
    <row r="1350" spans="3:27" x14ac:dyDescent="0.25">
      <c r="D1350" t="s">
        <v>934</v>
      </c>
      <c r="Y1350" t="s">
        <v>318</v>
      </c>
    </row>
    <row r="1351" spans="3:27" x14ac:dyDescent="0.25">
      <c r="D1351" t="s">
        <v>937</v>
      </c>
      <c r="Y1351" s="118">
        <v>0.1</v>
      </c>
      <c r="Z1351" s="118" t="s">
        <v>320</v>
      </c>
    </row>
    <row r="1352" spans="3:27" x14ac:dyDescent="0.25">
      <c r="D1352" t="s">
        <v>935</v>
      </c>
      <c r="Z1352" s="118">
        <v>0.75</v>
      </c>
    </row>
    <row r="1353" spans="3:27" x14ac:dyDescent="0.25">
      <c r="D1353" t="s">
        <v>936</v>
      </c>
      <c r="Z1353" s="118">
        <v>0.75</v>
      </c>
    </row>
    <row r="1354" spans="3:27" x14ac:dyDescent="0.25">
      <c r="D1354" t="s">
        <v>959</v>
      </c>
      <c r="Z1354" s="118"/>
      <c r="AA1354" s="118" t="s">
        <v>325</v>
      </c>
    </row>
    <row r="1355" spans="3:27" x14ac:dyDescent="0.25">
      <c r="C1355" s="13" t="s">
        <v>942</v>
      </c>
    </row>
    <row r="1356" spans="3:27" x14ac:dyDescent="0.25">
      <c r="D1356" t="s">
        <v>943</v>
      </c>
      <c r="G1356" t="s">
        <v>951</v>
      </c>
      <c r="T1356" s="118">
        <v>0.15</v>
      </c>
      <c r="U1356" s="118">
        <v>0.4</v>
      </c>
      <c r="V1356" t="s">
        <v>324</v>
      </c>
    </row>
    <row r="1357" spans="3:27" x14ac:dyDescent="0.25">
      <c r="D1357" t="s">
        <v>944</v>
      </c>
      <c r="G1357" t="s">
        <v>952</v>
      </c>
      <c r="W1357" t="s">
        <v>325</v>
      </c>
    </row>
    <row r="1358" spans="3:27" x14ac:dyDescent="0.25">
      <c r="D1358" t="s">
        <v>945</v>
      </c>
      <c r="G1358" t="s">
        <v>953</v>
      </c>
      <c r="W1358" t="s">
        <v>323</v>
      </c>
    </row>
    <row r="1359" spans="3:27" x14ac:dyDescent="0.25">
      <c r="D1359" t="s">
        <v>946</v>
      </c>
      <c r="G1359" t="s">
        <v>954</v>
      </c>
      <c r="Y1359" t="s">
        <v>320</v>
      </c>
    </row>
    <row r="1360" spans="3:27" x14ac:dyDescent="0.25">
      <c r="D1360" t="s">
        <v>947</v>
      </c>
      <c r="G1360" t="s">
        <v>953</v>
      </c>
      <c r="X1360" t="s">
        <v>324</v>
      </c>
    </row>
    <row r="1361" spans="4:27" x14ac:dyDescent="0.25">
      <c r="D1361" t="s">
        <v>948</v>
      </c>
      <c r="G1361" t="s">
        <v>955</v>
      </c>
      <c r="Z1361" s="118">
        <v>0.75</v>
      </c>
      <c r="AA1361" s="118">
        <v>0.75</v>
      </c>
    </row>
    <row r="1362" spans="4:27" x14ac:dyDescent="0.25">
      <c r="D1362" t="s">
        <v>949</v>
      </c>
      <c r="G1362" t="s">
        <v>956</v>
      </c>
      <c r="Y1362" t="s">
        <v>315</v>
      </c>
    </row>
    <row r="1363" spans="4:27" x14ac:dyDescent="0.25">
      <c r="D1363" t="s">
        <v>950</v>
      </c>
      <c r="G1363" t="s">
        <v>953</v>
      </c>
      <c r="Y1363" t="s">
        <v>319</v>
      </c>
    </row>
    <row r="1364" spans="4:27" x14ac:dyDescent="0.25">
      <c r="D1364" t="s">
        <v>960</v>
      </c>
      <c r="G1364" t="s">
        <v>953</v>
      </c>
      <c r="Z1364" t="s">
        <v>317</v>
      </c>
    </row>
    <row r="1365" spans="4:27" x14ac:dyDescent="0.25">
      <c r="D1365" t="s">
        <v>1553</v>
      </c>
      <c r="G1365" t="s">
        <v>953</v>
      </c>
      <c r="AA1365" t="s">
        <v>314</v>
      </c>
    </row>
    <row r="1366" spans="4:27" x14ac:dyDescent="0.25">
      <c r="D1366" t="s">
        <v>961</v>
      </c>
      <c r="G1366" t="s">
        <v>897</v>
      </c>
      <c r="AA1366" s="118">
        <v>0.1</v>
      </c>
    </row>
  </sheetData>
  <sheetProtection sheet="1" objects="1" scenarios="1"/>
  <phoneticPr fontId="25" type="noConversion"/>
  <hyperlinks>
    <hyperlink ref="D10" location="ConsevationBuildoutTracker!A1" display="See ConservationBuildoutTracker sheet: data in this data table autopopulates from that data sheet" xr:uid="{F3A82F3C-E1B4-45E0-84B6-AA962C1FF8F1}"/>
    <hyperlink ref="C57" location="BuildingPermitProcessing!A1" display="See BuildingPermitProcessing sheet for instructions on processing building permit data into the Indicator.accdb database and pulling the results for this section" xr:uid="{C52A0BB2-63DC-498C-B702-52FDAC0852A9}"/>
    <hyperlink ref="C137" location="BuildingPermitProcessing!A1" display="See BuildingPermitProcessing sheet for instructions on processing building permit data into the Indicator.accdb database and pulling the results for this section" xr:uid="{97D254D0-99DC-4EB6-BCF0-102F2A576CA7}"/>
    <hyperlink ref="C325" r:id="rId1" xr:uid="{84013CE3-7A2F-4746-A52C-CBDC889A6858}"/>
    <hyperlink ref="C362" r:id="rId2" xr:uid="{E146EB7C-6E2A-4595-9F66-0538368A28AF}"/>
  </hyperlinks>
  <pageMargins left="0.7" right="0.7" top="0.75" bottom="0.75" header="0.3" footer="0.3"/>
  <pageSetup orientation="portrait" verticalDpi="12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7BB0B-76D1-44AE-8007-E961A5431812}">
  <dimension ref="A1:AL1444"/>
  <sheetViews>
    <sheetView zoomScaleNormal="100" workbookViewId="0">
      <pane xSplit="8" ySplit="2" topLeftCell="P3" activePane="bottomRight" state="frozen"/>
      <selection pane="topRight" activeCell="I1" sqref="I1"/>
      <selection pane="bottomLeft" activeCell="A3" sqref="A3"/>
      <selection pane="bottomRight" activeCell="U76" sqref="U76"/>
    </sheetView>
  </sheetViews>
  <sheetFormatPr defaultRowHeight="15" x14ac:dyDescent="0.25"/>
  <cols>
    <col min="3" max="6" width="3.7109375" customWidth="1"/>
    <col min="7" max="7" width="46.7109375" customWidth="1"/>
    <col min="8" max="8" width="15" customWidth="1"/>
    <col min="9" max="37" width="11.42578125" customWidth="1"/>
  </cols>
  <sheetData>
    <row r="1" spans="1:37" ht="20.25" thickBot="1" x14ac:dyDescent="0.3">
      <c r="A1" s="87" t="s">
        <v>430</v>
      </c>
      <c r="B1" s="88"/>
      <c r="C1" s="89"/>
      <c r="D1" s="89"/>
      <c r="E1" s="89"/>
      <c r="F1" s="89"/>
      <c r="G1" s="89"/>
      <c r="H1" s="191"/>
    </row>
    <row r="2" spans="1:37" x14ac:dyDescent="0.25">
      <c r="A2" s="5"/>
      <c r="B2" s="6"/>
      <c r="C2" s="5"/>
      <c r="D2" s="5"/>
      <c r="E2" s="5"/>
      <c r="F2" s="5"/>
      <c r="G2" s="5"/>
      <c r="H2" s="5" t="s">
        <v>1014</v>
      </c>
      <c r="I2" s="5">
        <v>2002</v>
      </c>
      <c r="J2" s="5">
        <v>2003</v>
      </c>
      <c r="K2" s="5">
        <v>2004</v>
      </c>
      <c r="L2" s="5">
        <v>2005</v>
      </c>
      <c r="M2" s="5">
        <v>2006</v>
      </c>
      <c r="N2" s="5">
        <v>2007</v>
      </c>
      <c r="O2" s="5">
        <v>2008</v>
      </c>
      <c r="P2" s="5">
        <v>2009</v>
      </c>
      <c r="Q2" s="5">
        <v>2010</v>
      </c>
      <c r="R2" s="5">
        <v>2011</v>
      </c>
      <c r="S2" s="5">
        <v>2012</v>
      </c>
      <c r="T2" s="5">
        <v>2013</v>
      </c>
      <c r="U2" s="5">
        <v>2014</v>
      </c>
      <c r="V2" s="5">
        <v>2015</v>
      </c>
      <c r="W2" s="5">
        <v>2016</v>
      </c>
      <c r="X2" s="5">
        <v>2017</v>
      </c>
      <c r="Y2" s="5">
        <v>2018</v>
      </c>
      <c r="Z2" s="5">
        <v>2019</v>
      </c>
      <c r="AA2" s="5">
        <v>2020</v>
      </c>
      <c r="AB2" s="5">
        <v>2021</v>
      </c>
      <c r="AC2" s="5">
        <v>2022</v>
      </c>
      <c r="AD2" s="5">
        <v>2023</v>
      </c>
      <c r="AE2" s="5">
        <v>2024</v>
      </c>
      <c r="AF2" s="5">
        <v>2025</v>
      </c>
      <c r="AG2" s="5">
        <v>2026</v>
      </c>
      <c r="AH2" s="5">
        <v>2027</v>
      </c>
      <c r="AI2" s="5">
        <v>2028</v>
      </c>
      <c r="AJ2" s="5">
        <v>2029</v>
      </c>
      <c r="AK2" s="5">
        <v>2030</v>
      </c>
    </row>
    <row r="3" spans="1:37" s="92" customFormat="1" x14ac:dyDescent="0.25">
      <c r="A3" s="90"/>
      <c r="B3" s="91"/>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row>
    <row r="4" spans="1:37" s="79" customFormat="1" ht="17.25" x14ac:dyDescent="0.3">
      <c r="A4" s="79" t="s">
        <v>397</v>
      </c>
    </row>
    <row r="5" spans="1:37" x14ac:dyDescent="0.25">
      <c r="B5" s="64" t="s">
        <v>33</v>
      </c>
      <c r="C5" t="s">
        <v>808</v>
      </c>
    </row>
    <row r="6" spans="1:37" x14ac:dyDescent="0.25">
      <c r="B6" s="64" t="s">
        <v>626</v>
      </c>
      <c r="C6" t="s">
        <v>1561</v>
      </c>
    </row>
    <row r="7" spans="1:37" x14ac:dyDescent="0.25">
      <c r="B7" s="64" t="s">
        <v>420</v>
      </c>
      <c r="C7" t="s">
        <v>814</v>
      </c>
    </row>
    <row r="8" spans="1:37" x14ac:dyDescent="0.25">
      <c r="B8" s="64" t="s">
        <v>429</v>
      </c>
      <c r="C8" t="s">
        <v>807</v>
      </c>
    </row>
    <row r="9" spans="1:37" x14ac:dyDescent="0.25">
      <c r="B9" s="64" t="s">
        <v>421</v>
      </c>
      <c r="C9" t="s">
        <v>807</v>
      </c>
    </row>
    <row r="10" spans="1:37" x14ac:dyDescent="0.25">
      <c r="B10" s="64" t="s">
        <v>425</v>
      </c>
      <c r="C10" t="s">
        <v>807</v>
      </c>
    </row>
    <row r="11" spans="1:37" x14ac:dyDescent="0.25">
      <c r="B11" s="64" t="s">
        <v>333</v>
      </c>
      <c r="C11" t="s">
        <v>807</v>
      </c>
    </row>
    <row r="12" spans="1:37" s="99" customFormat="1" ht="15.75" thickBot="1" x14ac:dyDescent="0.3">
      <c r="B12" s="100" t="s">
        <v>334</v>
      </c>
      <c r="C12" s="99" t="s">
        <v>807</v>
      </c>
    </row>
    <row r="13" spans="1:37" s="103" customFormat="1" ht="15.75" thickTop="1" x14ac:dyDescent="0.25">
      <c r="B13" s="104" t="s">
        <v>34</v>
      </c>
      <c r="C13" s="105"/>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row>
    <row r="14" spans="1:37" s="93" customFormat="1" x14ac:dyDescent="0.25">
      <c r="B14" s="94"/>
      <c r="C14" s="95"/>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row>
    <row r="15" spans="1:37" s="80" customFormat="1" ht="17.25" x14ac:dyDescent="0.3">
      <c r="A15" s="80" t="s">
        <v>398</v>
      </c>
    </row>
    <row r="16" spans="1:37" x14ac:dyDescent="0.25">
      <c r="B16" s="64" t="s">
        <v>33</v>
      </c>
      <c r="C16" t="s">
        <v>336</v>
      </c>
    </row>
    <row r="17" spans="2:4" x14ac:dyDescent="0.25">
      <c r="B17" s="64" t="s">
        <v>626</v>
      </c>
      <c r="C17" t="s">
        <v>811</v>
      </c>
    </row>
    <row r="18" spans="2:4" x14ac:dyDescent="0.25">
      <c r="B18" s="64"/>
      <c r="D18" t="s">
        <v>812</v>
      </c>
    </row>
    <row r="19" spans="2:4" x14ac:dyDescent="0.25">
      <c r="B19" s="64"/>
      <c r="D19" t="s">
        <v>813</v>
      </c>
    </row>
    <row r="20" spans="2:4" x14ac:dyDescent="0.25">
      <c r="B20" s="64" t="s">
        <v>420</v>
      </c>
      <c r="C20" t="s">
        <v>815</v>
      </c>
    </row>
    <row r="21" spans="2:4" x14ac:dyDescent="0.25">
      <c r="B21" s="64"/>
      <c r="C21" t="s">
        <v>839</v>
      </c>
    </row>
    <row r="22" spans="2:4" x14ac:dyDescent="0.25">
      <c r="B22" s="64"/>
      <c r="C22" s="168" t="s">
        <v>816</v>
      </c>
    </row>
    <row r="23" spans="2:4" x14ac:dyDescent="0.25">
      <c r="B23" s="64" t="s">
        <v>429</v>
      </c>
      <c r="C23" s="195" t="s">
        <v>972</v>
      </c>
    </row>
    <row r="24" spans="2:4" s="223" customFormat="1" x14ac:dyDescent="0.25">
      <c r="B24" s="64"/>
      <c r="C24" s="195" t="s">
        <v>39</v>
      </c>
    </row>
    <row r="25" spans="2:4" x14ac:dyDescent="0.25">
      <c r="B25" s="64" t="s">
        <v>421</v>
      </c>
      <c r="C25" t="s">
        <v>1953</v>
      </c>
    </row>
    <row r="26" spans="2:4" x14ac:dyDescent="0.25">
      <c r="B26" s="64" t="s">
        <v>425</v>
      </c>
    </row>
    <row r="27" spans="2:4" x14ac:dyDescent="0.25">
      <c r="B27" s="64" t="s">
        <v>333</v>
      </c>
    </row>
    <row r="28" spans="2:4" x14ac:dyDescent="0.25">
      <c r="B28" s="64" t="s">
        <v>334</v>
      </c>
      <c r="C28" t="s">
        <v>1954</v>
      </c>
    </row>
    <row r="29" spans="2:4" s="99" customFormat="1" ht="15.75" thickBot="1" x14ac:dyDescent="0.3">
      <c r="B29" s="100"/>
      <c r="C29" s="99" t="s">
        <v>1955</v>
      </c>
    </row>
    <row r="30" spans="2:4" s="5" customFormat="1" ht="15.75" thickTop="1" x14ac:dyDescent="0.25">
      <c r="B30" s="71"/>
    </row>
    <row r="31" spans="2:4" s="5" customFormat="1" x14ac:dyDescent="0.25">
      <c r="B31" s="71"/>
    </row>
    <row r="32" spans="2:4" s="5" customFormat="1" x14ac:dyDescent="0.25">
      <c r="B32" s="71"/>
    </row>
    <row r="33" spans="2:37" s="5" customFormat="1" x14ac:dyDescent="0.25">
      <c r="B33" s="71"/>
    </row>
    <row r="34" spans="2:37" s="5" customFormat="1" x14ac:dyDescent="0.25">
      <c r="B34" s="71"/>
    </row>
    <row r="35" spans="2:37" s="5" customFormat="1" x14ac:dyDescent="0.25">
      <c r="B35" s="71"/>
    </row>
    <row r="36" spans="2:37" s="5" customFormat="1" x14ac:dyDescent="0.25">
      <c r="B36" s="71"/>
    </row>
    <row r="37" spans="2:37" s="5" customFormat="1" x14ac:dyDescent="0.25">
      <c r="B37" s="71"/>
    </row>
    <row r="38" spans="2:37" s="5" customFormat="1" x14ac:dyDescent="0.25">
      <c r="B38" s="71"/>
    </row>
    <row r="39" spans="2:37" s="5" customFormat="1" x14ac:dyDescent="0.25">
      <c r="B39" s="71"/>
    </row>
    <row r="40" spans="2:37" s="5" customFormat="1" x14ac:dyDescent="0.25">
      <c r="B40" s="71"/>
    </row>
    <row r="41" spans="2:37" s="5" customFormat="1" x14ac:dyDescent="0.25">
      <c r="B41" s="71"/>
    </row>
    <row r="42" spans="2:37" s="5" customFormat="1" x14ac:dyDescent="0.25">
      <c r="B42" s="71"/>
    </row>
    <row r="43" spans="2:37" s="5" customFormat="1" x14ac:dyDescent="0.25">
      <c r="B43" s="71"/>
    </row>
    <row r="44" spans="2:37" s="5" customFormat="1" x14ac:dyDescent="0.25">
      <c r="B44" s="71"/>
    </row>
    <row r="45" spans="2:37" s="103" customFormat="1" x14ac:dyDescent="0.25">
      <c r="B45" s="104" t="s">
        <v>34</v>
      </c>
      <c r="C45" s="173" t="s">
        <v>46</v>
      </c>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row>
    <row r="46" spans="2:37" s="103" customFormat="1" x14ac:dyDescent="0.25">
      <c r="B46" s="279"/>
      <c r="C46" s="105"/>
      <c r="D46" s="103" t="s">
        <v>821</v>
      </c>
      <c r="H46" s="103" t="s">
        <v>1951</v>
      </c>
      <c r="I46" s="106"/>
      <c r="J46" s="106"/>
      <c r="K46" s="106"/>
      <c r="L46" s="106"/>
      <c r="M46" s="106">
        <f>COUNTIFS(ConsevationBuildoutTracker!$E18:$E598,"CE",ConsevationBuildoutTracker!$I18:$I598,M$2)</f>
        <v>4</v>
      </c>
      <c r="N46" s="106">
        <f>COUNTIFS(ConsevationBuildoutTracker!$E18:$E598,"CE",ConsevationBuildoutTracker!$I18:$I598,N$2)</f>
        <v>15</v>
      </c>
      <c r="O46" s="106">
        <f>COUNTIFS(ConsevationBuildoutTracker!$E18:$E598,"CE",ConsevationBuildoutTracker!$I18:$I598,O$2)</f>
        <v>3</v>
      </c>
      <c r="P46" s="106">
        <f>COUNTIFS(ConsevationBuildoutTracker!$E18:$E598,"CE",ConsevationBuildoutTracker!$I18:$I598,P$2)</f>
        <v>4</v>
      </c>
      <c r="Q46" s="106">
        <f>COUNTIFS(ConsevationBuildoutTracker!$E18:$E598,"CE",ConsevationBuildoutTracker!$I18:$I598,Q$2)</f>
        <v>5</v>
      </c>
      <c r="R46" s="106">
        <f>COUNTIFS(ConsevationBuildoutTracker!$E18:$E598,"CE",ConsevationBuildoutTracker!$I18:$I598,R$2)</f>
        <v>2</v>
      </c>
      <c r="S46" s="106">
        <f>COUNTIFS(ConsevationBuildoutTracker!$E18:$E598,"CE",ConsevationBuildoutTracker!$I18:$I598,S$2)</f>
        <v>10</v>
      </c>
      <c r="T46" s="106">
        <f>COUNTIFS(ConsevationBuildoutTracker!$E18:$E598,"CE",ConsevationBuildoutTracker!$I18:$I598,T$2)</f>
        <v>4</v>
      </c>
      <c r="U46" s="106">
        <f>COUNTIFS(ConsevationBuildoutTracker!$E18:$E598,"CE",ConsevationBuildoutTracker!$I18:$I598,U$2)</f>
        <v>7</v>
      </c>
      <c r="V46" s="106">
        <f>COUNTIFS(ConsevationBuildoutTracker!$E18:$E598,"CE",ConsevationBuildoutTracker!$I18:$I598,V$2)</f>
        <v>8</v>
      </c>
      <c r="W46" s="106">
        <f>COUNTIFS(ConsevationBuildoutTracker!$E18:$E598,"CE",ConsevationBuildoutTracker!$I18:$I598,W$2)</f>
        <v>3</v>
      </c>
      <c r="X46" s="106">
        <f>COUNTIFS(ConsevationBuildoutTracker!$E18:$E598,"CE",ConsevationBuildoutTracker!$I18:$I598,X$2)</f>
        <v>5</v>
      </c>
      <c r="Y46" s="106">
        <f>COUNTIFS(ConsevationBuildoutTracker!$E18:$E598,"CE",ConsevationBuildoutTracker!$I18:$I598,Y$2)</f>
        <v>3</v>
      </c>
      <c r="Z46" s="106">
        <f>COUNTIFS(ConsevationBuildoutTracker!$E18:$E598,"CE",ConsevationBuildoutTracker!$I18:$I598,Z$2)</f>
        <v>1</v>
      </c>
      <c r="AA46" s="106">
        <f>COUNTIFS(ConsevationBuildoutTracker!$E18:$E598,"CE",ConsevationBuildoutTracker!$I18:$I598,AA$2)</f>
        <v>1</v>
      </c>
      <c r="AB46" s="106">
        <f>COUNTIFS(ConsevationBuildoutTracker!$E18:$E598,"CE",ConsevationBuildoutTracker!$I18:$I598,AB$2)</f>
        <v>0</v>
      </c>
      <c r="AC46" s="106">
        <f>COUNTIFS(ConsevationBuildoutTracker!$E18:$E598,"CE",ConsevationBuildoutTracker!$I18:$I598,AC$2)</f>
        <v>0</v>
      </c>
      <c r="AD46" s="106">
        <f>COUNTIFS(ConsevationBuildoutTracker!$E18:$E598,"CE",ConsevationBuildoutTracker!$I18:$I598,AD$2)</f>
        <v>0</v>
      </c>
      <c r="AE46" s="106">
        <f>COUNTIFS(ConsevationBuildoutTracker!$E18:$E598,"CE",ConsevationBuildoutTracker!$I18:$I598,AE$2)</f>
        <v>0</v>
      </c>
      <c r="AF46" s="106">
        <f>COUNTIFS(ConsevationBuildoutTracker!$E18:$E598,"CE",ConsevationBuildoutTracker!$I18:$I598,AF$2)</f>
        <v>0</v>
      </c>
      <c r="AG46" s="106">
        <f>COUNTIFS(ConsevationBuildoutTracker!$E18:$E598,"CE",ConsevationBuildoutTracker!$I18:$I598,AG$2)</f>
        <v>0</v>
      </c>
      <c r="AH46" s="106">
        <f>COUNTIFS(ConsevationBuildoutTracker!$E18:$E598,"CE",ConsevationBuildoutTracker!$I18:$I598,AH$2)</f>
        <v>0</v>
      </c>
      <c r="AI46" s="106">
        <f>COUNTIFS(ConsevationBuildoutTracker!$E18:$E598,"CE",ConsevationBuildoutTracker!$I18:$I598,AI$2)</f>
        <v>0</v>
      </c>
      <c r="AJ46" s="106">
        <f>COUNTIFS(ConsevationBuildoutTracker!$E18:$E598,"CE",ConsevationBuildoutTracker!$I18:$I598,AJ$2)</f>
        <v>0</v>
      </c>
      <c r="AK46" s="106">
        <f>COUNTIFS(ConsevationBuildoutTracker!$E18:$E598,"CE",ConsevationBuildoutTracker!$I18:$I598,AK$2)</f>
        <v>0</v>
      </c>
    </row>
    <row r="47" spans="2:37" s="85" customFormat="1" x14ac:dyDescent="0.25">
      <c r="B47" s="104"/>
      <c r="C47" s="173"/>
      <c r="E47" s="85" t="s">
        <v>225</v>
      </c>
      <c r="H47" s="85" t="s">
        <v>1951</v>
      </c>
      <c r="I47" s="97"/>
      <c r="J47" s="97"/>
      <c r="K47" s="97"/>
      <c r="L47" s="97"/>
      <c r="M47" s="85">
        <f>COUNTIFS(ConsevationBuildoutTracker!$Y18:$Y598,"&gt;0",ConsevationBuildoutTracker!$E18:$E598,"CE",ConsevationBuildoutTracker!$I18:$I598,M$2)</f>
        <v>2</v>
      </c>
      <c r="N47" s="85">
        <f>COUNTIFS(ConsevationBuildoutTracker!$Y18:$Y598,"&gt;0",ConsevationBuildoutTracker!$E18:$E598,"CE",ConsevationBuildoutTracker!$I18:$I598,N$2)</f>
        <v>10</v>
      </c>
      <c r="O47" s="85">
        <f>COUNTIFS(ConsevationBuildoutTracker!$Y18:$Y598,"&gt;0",ConsevationBuildoutTracker!$E18:$E598,"CE",ConsevationBuildoutTracker!$I18:$I598,O$2)</f>
        <v>2</v>
      </c>
      <c r="P47" s="85">
        <f>COUNTIFS(ConsevationBuildoutTracker!$Y18:$Y598,"&gt;0",ConsevationBuildoutTracker!$E18:$E598,"CE",ConsevationBuildoutTracker!$I18:$I598,P$2)</f>
        <v>3</v>
      </c>
      <c r="Q47" s="85">
        <f>COUNTIFS(ConsevationBuildoutTracker!$Y18:$Y598,"&gt;0",ConsevationBuildoutTracker!$E18:$E598,"CE",ConsevationBuildoutTracker!$I18:$I598,Q$2)</f>
        <v>3</v>
      </c>
      <c r="R47" s="85">
        <f>COUNTIFS(ConsevationBuildoutTracker!$Y18:$Y598,"&gt;0",ConsevationBuildoutTracker!$E18:$E598,"CE",ConsevationBuildoutTracker!$I18:$I598,R$2)</f>
        <v>2</v>
      </c>
      <c r="S47" s="85">
        <f>COUNTIFS(ConsevationBuildoutTracker!$Y18:$Y598,"&gt;0",ConsevationBuildoutTracker!$E18:$E598,"CE",ConsevationBuildoutTracker!$I18:$I598,S$2)</f>
        <v>7</v>
      </c>
      <c r="T47" s="85">
        <f>COUNTIFS(ConsevationBuildoutTracker!$Y18:$Y598,"&gt;0",ConsevationBuildoutTracker!$E18:$E598,"CE",ConsevationBuildoutTracker!$I18:$I598,T$2)</f>
        <v>4</v>
      </c>
      <c r="U47" s="85">
        <f>COUNTIFS(ConsevationBuildoutTracker!$Y18:$Y598,"&gt;0",ConsevationBuildoutTracker!$E18:$E598,"CE",ConsevationBuildoutTracker!$I18:$I598,U$2)</f>
        <v>5</v>
      </c>
      <c r="V47" s="85">
        <f>COUNTIFS(ConsevationBuildoutTracker!$Y18:$Y598,"&gt;0",ConsevationBuildoutTracker!$E18:$E598,"CE",ConsevationBuildoutTracker!$I18:$I598,V$2)</f>
        <v>6</v>
      </c>
      <c r="W47" s="85">
        <f>COUNTIFS(ConsevationBuildoutTracker!$Y18:$Y598,"&gt;0",ConsevationBuildoutTracker!$E18:$E598,"CE",ConsevationBuildoutTracker!$I18:$I598,W$2)</f>
        <v>3</v>
      </c>
      <c r="X47" s="85">
        <f>COUNTIFS(ConsevationBuildoutTracker!$Y18:$Y598,"&gt;0",ConsevationBuildoutTracker!$E18:$E598,"CE",ConsevationBuildoutTracker!$I18:$I598,X$2)</f>
        <v>5</v>
      </c>
      <c r="Y47" s="85">
        <f>COUNTIFS(ConsevationBuildoutTracker!$Y18:$Y598,"&gt;0",ConsevationBuildoutTracker!$E18:$E598,"CE",ConsevationBuildoutTracker!$I18:$I598,Y$2)</f>
        <v>2</v>
      </c>
      <c r="Z47" s="85">
        <f>COUNTIFS(ConsevationBuildoutTracker!$Y18:$Y598,"&gt;0",ConsevationBuildoutTracker!$E18:$E598,"CE",ConsevationBuildoutTracker!$I18:$I598,Z$2)</f>
        <v>0</v>
      </c>
      <c r="AA47" s="85">
        <f>COUNTIFS(ConsevationBuildoutTracker!$Y18:$Y598,"&gt;0",ConsevationBuildoutTracker!$E18:$E598,"CE",ConsevationBuildoutTracker!$I18:$I598,AA$2)</f>
        <v>0</v>
      </c>
      <c r="AB47" s="85">
        <f>COUNTIFS(ConsevationBuildoutTracker!$Y18:$Y598,"&gt;0",ConsevationBuildoutTracker!$E18:$E598,"CE",ConsevationBuildoutTracker!$I18:$I598,AB$2)</f>
        <v>0</v>
      </c>
      <c r="AC47" s="85">
        <f>COUNTIFS(ConsevationBuildoutTracker!$Y18:$Y598,"&gt;0",ConsevationBuildoutTracker!$E18:$E598,"CE",ConsevationBuildoutTracker!$I18:$I598,AC$2)</f>
        <v>0</v>
      </c>
      <c r="AD47" s="85">
        <f>COUNTIFS(ConsevationBuildoutTracker!$Y18:$Y598,"&gt;0",ConsevationBuildoutTracker!$E18:$E598,"CE",ConsevationBuildoutTracker!$I18:$I598,AD$2)</f>
        <v>0</v>
      </c>
      <c r="AE47" s="85">
        <f>COUNTIFS(ConsevationBuildoutTracker!$Y18:$Y598,"&gt;0",ConsevationBuildoutTracker!$E18:$E598,"CE",ConsevationBuildoutTracker!$I18:$I598,AE$2)</f>
        <v>0</v>
      </c>
      <c r="AF47" s="85">
        <f>COUNTIFS(ConsevationBuildoutTracker!$Y18:$Y598,"&gt;0",ConsevationBuildoutTracker!$E18:$E598,"CE",ConsevationBuildoutTracker!$I18:$I598,AF$2)</f>
        <v>0</v>
      </c>
      <c r="AG47" s="85">
        <f>COUNTIFS(ConsevationBuildoutTracker!$Y18:$Y598,"&gt;0",ConsevationBuildoutTracker!$E18:$E598,"CE",ConsevationBuildoutTracker!$I18:$I598,AG$2)</f>
        <v>0</v>
      </c>
      <c r="AH47" s="85">
        <f>COUNTIFS(ConsevationBuildoutTracker!$Y18:$Y598,"&gt;0",ConsevationBuildoutTracker!$E18:$E598,"CE",ConsevationBuildoutTracker!$I18:$I598,AH$2)</f>
        <v>0</v>
      </c>
      <c r="AI47" s="85">
        <f>COUNTIFS(ConsevationBuildoutTracker!$Y18:$Y598,"&gt;0",ConsevationBuildoutTracker!$E18:$E598,"CE",ConsevationBuildoutTracker!$I18:$I598,AI$2)</f>
        <v>0</v>
      </c>
      <c r="AJ47" s="85">
        <f>COUNTIFS(ConsevationBuildoutTracker!$Y18:$Y598,"&gt;0",ConsevationBuildoutTracker!$E18:$E598,"CE",ConsevationBuildoutTracker!$I18:$I598,AJ$2)</f>
        <v>0</v>
      </c>
      <c r="AK47" s="85">
        <f>COUNTIFS(ConsevationBuildoutTracker!$Y18:$Y598,"&gt;0",ConsevationBuildoutTracker!$E18:$E598,"CE",ConsevationBuildoutTracker!$I18:$I598,AK$2)</f>
        <v>0</v>
      </c>
    </row>
    <row r="48" spans="2:37" s="85" customFormat="1" x14ac:dyDescent="0.25">
      <c r="B48" s="104"/>
      <c r="C48" s="173"/>
      <c r="E48" s="85" t="s">
        <v>226</v>
      </c>
      <c r="H48" s="85" t="s">
        <v>1951</v>
      </c>
      <c r="I48" s="97"/>
      <c r="J48" s="97"/>
      <c r="K48" s="97"/>
      <c r="L48" s="97"/>
      <c r="M48" s="97">
        <f>COUNTIFS(ConsevationBuildoutTracker!$Z18:$Z598,"&gt;0",ConsevationBuildoutTracker!$E18:$E598,"CE",ConsevationBuildoutTracker!$I18:$I598,M$2)</f>
        <v>4</v>
      </c>
      <c r="N48" s="97">
        <f>COUNTIFS(ConsevationBuildoutTracker!$Z18:$Z598,"&gt;0",ConsevationBuildoutTracker!$E18:$E598,"CE",ConsevationBuildoutTracker!$I18:$I598,N$2)</f>
        <v>6</v>
      </c>
      <c r="O48" s="97">
        <f>COUNTIFS(ConsevationBuildoutTracker!$Z18:$Z598,"&gt;0",ConsevationBuildoutTracker!$E18:$E598,"CE",ConsevationBuildoutTracker!$I18:$I598,O$2)</f>
        <v>1</v>
      </c>
      <c r="P48" s="97">
        <f>COUNTIFS(ConsevationBuildoutTracker!$Z18:$Z598,"&gt;0",ConsevationBuildoutTracker!$E18:$E598,"CE",ConsevationBuildoutTracker!$I18:$I598,P$2)</f>
        <v>1</v>
      </c>
      <c r="Q48" s="97">
        <f>COUNTIFS(ConsevationBuildoutTracker!$Z18:$Z598,"&gt;0",ConsevationBuildoutTracker!$E18:$E598,"CE",ConsevationBuildoutTracker!$I18:$I598,Q$2)</f>
        <v>0</v>
      </c>
      <c r="R48" s="97">
        <f>COUNTIFS(ConsevationBuildoutTracker!$Z18:$Z598,"&gt;0",ConsevationBuildoutTracker!$E18:$E598,"CE",ConsevationBuildoutTracker!$I18:$I598,R$2)</f>
        <v>0</v>
      </c>
      <c r="S48" s="97">
        <f>COUNTIFS(ConsevationBuildoutTracker!$Z18:$Z598,"&gt;0",ConsevationBuildoutTracker!$E18:$E598,"CE",ConsevationBuildoutTracker!$I18:$I598,S$2)</f>
        <v>1</v>
      </c>
      <c r="T48" s="97">
        <f>COUNTIFS(ConsevationBuildoutTracker!$Z18:$Z598,"&gt;0",ConsevationBuildoutTracker!$E18:$E598,"CE",ConsevationBuildoutTracker!$I18:$I598,T$2)</f>
        <v>1</v>
      </c>
      <c r="U48" s="97">
        <f>COUNTIFS(ConsevationBuildoutTracker!$Z18:$Z598,"&gt;0",ConsevationBuildoutTracker!$E18:$E598,"CE",ConsevationBuildoutTracker!$I18:$I598,U$2)</f>
        <v>1</v>
      </c>
      <c r="V48" s="97">
        <f>COUNTIFS(ConsevationBuildoutTracker!$Z18:$Z598,"&gt;0",ConsevationBuildoutTracker!$E18:$E598,"CE",ConsevationBuildoutTracker!$I18:$I598,V$2)</f>
        <v>1</v>
      </c>
      <c r="W48" s="97">
        <f>COUNTIFS(ConsevationBuildoutTracker!$Z18:$Z598,"&gt;0",ConsevationBuildoutTracker!$E18:$E598,"CE",ConsevationBuildoutTracker!$I18:$I598,W$2)</f>
        <v>2</v>
      </c>
      <c r="X48" s="97">
        <f>COUNTIFS(ConsevationBuildoutTracker!$Z18:$Z598,"&gt;0",ConsevationBuildoutTracker!$E18:$E598,"CE",ConsevationBuildoutTracker!$I18:$I598,X$2)</f>
        <v>1</v>
      </c>
      <c r="Y48" s="97">
        <f>COUNTIFS(ConsevationBuildoutTracker!$Z18:$Z598,"&gt;0",ConsevationBuildoutTracker!$E18:$E598,"CE",ConsevationBuildoutTracker!$I18:$I598,Y$2)</f>
        <v>1</v>
      </c>
      <c r="Z48" s="97">
        <f>COUNTIFS(ConsevationBuildoutTracker!$Z18:$Z598,"&gt;0",ConsevationBuildoutTracker!$E18:$E598,"CE",ConsevationBuildoutTracker!$I18:$I598,Z$2)</f>
        <v>0</v>
      </c>
      <c r="AA48" s="97">
        <f>COUNTIFS(ConsevationBuildoutTracker!$Z18:$Z598,"&gt;0",ConsevationBuildoutTracker!$E18:$E598,"CE",ConsevationBuildoutTracker!$I18:$I598,AA$2)</f>
        <v>1</v>
      </c>
      <c r="AB48" s="97">
        <f>COUNTIFS(ConsevationBuildoutTracker!$Z18:$Z598,"&gt;0",ConsevationBuildoutTracker!$E18:$E598,"CE",ConsevationBuildoutTracker!$I18:$I598,AB$2)</f>
        <v>0</v>
      </c>
      <c r="AC48" s="97">
        <f>COUNTIFS(ConsevationBuildoutTracker!$Z18:$Z598,"&gt;0",ConsevationBuildoutTracker!$E18:$E598,"CE",ConsevationBuildoutTracker!$I18:$I598,AC$2)</f>
        <v>0</v>
      </c>
      <c r="AD48" s="97">
        <f>COUNTIFS(ConsevationBuildoutTracker!$Z18:$Z598,"&gt;0",ConsevationBuildoutTracker!$E18:$E598,"CE",ConsevationBuildoutTracker!$I18:$I598,AD$2)</f>
        <v>0</v>
      </c>
      <c r="AE48" s="97">
        <f>COUNTIFS(ConsevationBuildoutTracker!$Z18:$Z598,"&gt;0",ConsevationBuildoutTracker!$E18:$E598,"CE",ConsevationBuildoutTracker!$I18:$I598,AE$2)</f>
        <v>0</v>
      </c>
      <c r="AF48" s="97">
        <f>COUNTIFS(ConsevationBuildoutTracker!$Z18:$Z598,"&gt;0",ConsevationBuildoutTracker!$E18:$E598,"CE",ConsevationBuildoutTracker!$I18:$I598,AF$2)</f>
        <v>0</v>
      </c>
      <c r="AG48" s="97">
        <f>COUNTIFS(ConsevationBuildoutTracker!$Z18:$Z598,"&gt;0",ConsevationBuildoutTracker!$E18:$E598,"CE",ConsevationBuildoutTracker!$I18:$I598,AG$2)</f>
        <v>0</v>
      </c>
      <c r="AH48" s="97">
        <f>COUNTIFS(ConsevationBuildoutTracker!$Z18:$Z598,"&gt;0",ConsevationBuildoutTracker!$E18:$E598,"CE",ConsevationBuildoutTracker!$I18:$I598,AH$2)</f>
        <v>0</v>
      </c>
      <c r="AI48" s="97">
        <f>COUNTIFS(ConsevationBuildoutTracker!$Z18:$Z598,"&gt;0",ConsevationBuildoutTracker!$E18:$E598,"CE",ConsevationBuildoutTracker!$I18:$I598,AI$2)</f>
        <v>0</v>
      </c>
      <c r="AJ48" s="97">
        <f>COUNTIFS(ConsevationBuildoutTracker!$Z18:$Z598,"&gt;0",ConsevationBuildoutTracker!$E18:$E598,"CE",ConsevationBuildoutTracker!$I18:$I598,AJ$2)</f>
        <v>0</v>
      </c>
      <c r="AK48" s="97">
        <f>COUNTIFS(ConsevationBuildoutTracker!$Z18:$Z598,"&gt;0",ConsevationBuildoutTracker!$E18:$E598,"CE",ConsevationBuildoutTracker!$I18:$I598,AK$2)</f>
        <v>0</v>
      </c>
    </row>
    <row r="49" spans="2:37" s="85" customFormat="1" x14ac:dyDescent="0.25">
      <c r="B49" s="104"/>
      <c r="C49" s="173"/>
      <c r="E49" s="85" t="s">
        <v>235</v>
      </c>
      <c r="H49" s="85" t="s">
        <v>1951</v>
      </c>
      <c r="I49" s="97"/>
      <c r="J49" s="97"/>
      <c r="K49" s="97"/>
      <c r="L49" s="97"/>
      <c r="M49" s="97">
        <f>COUNTIFS(ConsevationBuildoutTracker!$AA18:$AA598,"&gt;0",ConsevationBuildoutTracker!$E18:$E598,"CE",ConsevationBuildoutTracker!$I18:$I598,M$2)</f>
        <v>4</v>
      </c>
      <c r="N49" s="97">
        <f>COUNTIFS(ConsevationBuildoutTracker!$AA18:$AA598,"&gt;0",ConsevationBuildoutTracker!$E18:$E598,"CE",ConsevationBuildoutTracker!$I18:$I598,N$2)</f>
        <v>8</v>
      </c>
      <c r="O49" s="97">
        <f>COUNTIFS(ConsevationBuildoutTracker!$AA18:$AA598,"&gt;0",ConsevationBuildoutTracker!$E18:$E598,"CE",ConsevationBuildoutTracker!$I18:$I598,O$2)</f>
        <v>1</v>
      </c>
      <c r="P49" s="97">
        <f>COUNTIFS(ConsevationBuildoutTracker!$AA18:$AA598,"&gt;0",ConsevationBuildoutTracker!$E18:$E598,"CE",ConsevationBuildoutTracker!$I18:$I598,P$2)</f>
        <v>0</v>
      </c>
      <c r="Q49" s="97">
        <f>COUNTIFS(ConsevationBuildoutTracker!$AA18:$AA598,"&gt;0",ConsevationBuildoutTracker!$E18:$E598,"CE",ConsevationBuildoutTracker!$I18:$I598,Q$2)</f>
        <v>0</v>
      </c>
      <c r="R49" s="97">
        <f>COUNTIFS(ConsevationBuildoutTracker!$AA18:$AA598,"&gt;0",ConsevationBuildoutTracker!$E18:$E598,"CE",ConsevationBuildoutTracker!$I18:$I598,R$2)</f>
        <v>0</v>
      </c>
      <c r="S49" s="97">
        <f>COUNTIFS(ConsevationBuildoutTracker!$AA18:$AA598,"&gt;0",ConsevationBuildoutTracker!$E18:$E598,"CE",ConsevationBuildoutTracker!$I18:$I598,S$2)</f>
        <v>1</v>
      </c>
      <c r="T49" s="97">
        <f>COUNTIFS(ConsevationBuildoutTracker!$AA18:$AA598,"&gt;0",ConsevationBuildoutTracker!$E18:$E598,"CE",ConsevationBuildoutTracker!$I18:$I598,T$2)</f>
        <v>0</v>
      </c>
      <c r="U49" s="97">
        <f>COUNTIFS(ConsevationBuildoutTracker!$AA18:$AA598,"&gt;0",ConsevationBuildoutTracker!$E18:$E598,"CE",ConsevationBuildoutTracker!$I18:$I598,U$2)</f>
        <v>1</v>
      </c>
      <c r="V49" s="97">
        <f>COUNTIFS(ConsevationBuildoutTracker!$AA18:$AA598,"&gt;0",ConsevationBuildoutTracker!$E18:$E598,"CE",ConsevationBuildoutTracker!$I18:$I598,V$2)</f>
        <v>5</v>
      </c>
      <c r="W49" s="97">
        <f>COUNTIFS(ConsevationBuildoutTracker!$AA18:$AA598,"&gt;0",ConsevationBuildoutTracker!$E18:$E598,"CE",ConsevationBuildoutTracker!$I18:$I598,W$2)</f>
        <v>0</v>
      </c>
      <c r="X49" s="97">
        <f>COUNTIFS(ConsevationBuildoutTracker!$AA18:$AA598,"&gt;0",ConsevationBuildoutTracker!$E18:$E598,"CE",ConsevationBuildoutTracker!$I18:$I598,X$2)</f>
        <v>0</v>
      </c>
      <c r="Y49" s="97">
        <f>COUNTIFS(ConsevationBuildoutTracker!$AA18:$AA598,"&gt;0",ConsevationBuildoutTracker!$E18:$E598,"CE",ConsevationBuildoutTracker!$I18:$I598,Y$2)</f>
        <v>2</v>
      </c>
      <c r="Z49" s="97">
        <f>COUNTIFS(ConsevationBuildoutTracker!$AA18:$AA598,"&gt;0",ConsevationBuildoutTracker!$E18:$E598,"CE",ConsevationBuildoutTracker!$I18:$I598,Z$2)</f>
        <v>0</v>
      </c>
      <c r="AA49" s="97">
        <f>COUNTIFS(ConsevationBuildoutTracker!$AA18:$AA598,"&gt;0",ConsevationBuildoutTracker!$E18:$E598,"CE",ConsevationBuildoutTracker!$I18:$I598,AA$2)</f>
        <v>0</v>
      </c>
      <c r="AB49" s="97">
        <f>COUNTIFS(ConsevationBuildoutTracker!$AA18:$AA598,"&gt;0",ConsevationBuildoutTracker!$E18:$E598,"CE",ConsevationBuildoutTracker!$I18:$I598,AB$2)</f>
        <v>0</v>
      </c>
      <c r="AC49" s="97">
        <f>COUNTIFS(ConsevationBuildoutTracker!$AA18:$AA598,"&gt;0",ConsevationBuildoutTracker!$E18:$E598,"CE",ConsevationBuildoutTracker!$I18:$I598,AC$2)</f>
        <v>0</v>
      </c>
      <c r="AD49" s="97">
        <f>COUNTIFS(ConsevationBuildoutTracker!$AA18:$AA598,"&gt;0",ConsevationBuildoutTracker!$E18:$E598,"CE",ConsevationBuildoutTracker!$I18:$I598,AD$2)</f>
        <v>0</v>
      </c>
      <c r="AE49" s="97">
        <f>COUNTIFS(ConsevationBuildoutTracker!$AA18:$AA598,"&gt;0",ConsevationBuildoutTracker!$E18:$E598,"CE",ConsevationBuildoutTracker!$I18:$I598,AE$2)</f>
        <v>0</v>
      </c>
      <c r="AF49" s="97">
        <f>COUNTIFS(ConsevationBuildoutTracker!$AA18:$AA598,"&gt;0",ConsevationBuildoutTracker!$E18:$E598,"CE",ConsevationBuildoutTracker!$I18:$I598,AF$2)</f>
        <v>0</v>
      </c>
      <c r="AG49" s="97">
        <f>COUNTIFS(ConsevationBuildoutTracker!$AA18:$AA598,"&gt;0",ConsevationBuildoutTracker!$E18:$E598,"CE",ConsevationBuildoutTracker!$I18:$I598,AG$2)</f>
        <v>0</v>
      </c>
      <c r="AH49" s="97">
        <f>COUNTIFS(ConsevationBuildoutTracker!$AA18:$AA598,"&gt;0",ConsevationBuildoutTracker!$E18:$E598,"CE",ConsevationBuildoutTracker!$I18:$I598,AH$2)</f>
        <v>0</v>
      </c>
      <c r="AI49" s="97">
        <f>COUNTIFS(ConsevationBuildoutTracker!$AA18:$AA598,"&gt;0",ConsevationBuildoutTracker!$E18:$E598,"CE",ConsevationBuildoutTracker!$I18:$I598,AI$2)</f>
        <v>0</v>
      </c>
      <c r="AJ49" s="97">
        <f>COUNTIFS(ConsevationBuildoutTracker!$AA18:$AA598,"&gt;0",ConsevationBuildoutTracker!$E18:$E598,"CE",ConsevationBuildoutTracker!$I18:$I598,AJ$2)</f>
        <v>0</v>
      </c>
      <c r="AK49" s="97">
        <f>COUNTIFS(ConsevationBuildoutTracker!$AA18:$AA598,"&gt;0",ConsevationBuildoutTracker!$E18:$E598,"CE",ConsevationBuildoutTracker!$I18:$I598,AK$2)</f>
        <v>0</v>
      </c>
    </row>
    <row r="50" spans="2:37" s="103" customFormat="1" x14ac:dyDescent="0.25">
      <c r="B50" s="279"/>
      <c r="C50" s="105"/>
      <c r="D50" s="103" t="s">
        <v>1952</v>
      </c>
      <c r="H50" s="223" t="s">
        <v>1950</v>
      </c>
      <c r="I50" s="106"/>
      <c r="J50" s="106"/>
      <c r="K50" s="106"/>
      <c r="L50" s="106"/>
      <c r="M50" s="106">
        <f>SUMIFS(ConsevationBuildoutTracker!$X18:$X598,ConsevationBuildoutTracker!$E18:$E598,"CE",ConsevationBuildoutTracker!$I18:$I598,M$2)</f>
        <v>507</v>
      </c>
      <c r="N50" s="106">
        <f>SUMIFS(ConsevationBuildoutTracker!$X18:$X598,ConsevationBuildoutTracker!$E18:$E598,"CE",ConsevationBuildoutTracker!$I18:$I598,N$2)</f>
        <v>2463.7800000000002</v>
      </c>
      <c r="O50" s="106">
        <f>SUMIFS(ConsevationBuildoutTracker!$X18:$X598,ConsevationBuildoutTracker!$E18:$E598,"CE",ConsevationBuildoutTracker!$I18:$I598,O$2)</f>
        <v>80.91</v>
      </c>
      <c r="P50" s="106">
        <f>SUMIFS(ConsevationBuildoutTracker!$X18:$X598,ConsevationBuildoutTracker!$E18:$E598,"CE",ConsevationBuildoutTracker!$I18:$I598,P$2)</f>
        <v>81.539999999999992</v>
      </c>
      <c r="Q50" s="106">
        <f>SUMIFS(ConsevationBuildoutTracker!$X18:$X598,ConsevationBuildoutTracker!$E18:$E598,"CE",ConsevationBuildoutTracker!$I18:$I598,Q$2)</f>
        <v>125.47999999999999</v>
      </c>
      <c r="R50" s="106">
        <f>SUMIFS(ConsevationBuildoutTracker!$X18:$X598,ConsevationBuildoutTracker!$E18:$E598,"CE",ConsevationBuildoutTracker!$I18:$I598,R$2)</f>
        <v>21.29</v>
      </c>
      <c r="S50" s="106">
        <f>SUMIFS(ConsevationBuildoutTracker!$X18:$X598,ConsevationBuildoutTracker!$E18:$E598,"CE",ConsevationBuildoutTracker!$I18:$I598,S$2)</f>
        <v>473.79999999999995</v>
      </c>
      <c r="T50" s="106">
        <f>SUMIFS(ConsevationBuildoutTracker!$X18:$X598,ConsevationBuildoutTracker!$E18:$E598,"CE",ConsevationBuildoutTracker!$I18:$I598,T$2)</f>
        <v>259.38</v>
      </c>
      <c r="U50" s="106">
        <f>SUMIFS(ConsevationBuildoutTracker!$X18:$X598,ConsevationBuildoutTracker!$E18:$E598,"CE",ConsevationBuildoutTracker!$I18:$I598,U$2)</f>
        <v>322.08</v>
      </c>
      <c r="V50" s="106">
        <f>SUMIFS(ConsevationBuildoutTracker!$X18:$X598,ConsevationBuildoutTracker!$E18:$E598,"CE",ConsevationBuildoutTracker!$I18:$I598,V$2)</f>
        <v>425.3</v>
      </c>
      <c r="W50" s="106">
        <f>SUMIFS(ConsevationBuildoutTracker!$X18:$X598,ConsevationBuildoutTracker!$E18:$E598,"CE",ConsevationBuildoutTracker!$I18:$I598,W$2)</f>
        <v>105.5</v>
      </c>
      <c r="X50" s="106">
        <f>SUMIFS(ConsevationBuildoutTracker!$X18:$X598,ConsevationBuildoutTracker!$E18:$E598,"CE",ConsevationBuildoutTracker!$I18:$I598,X$2)</f>
        <v>113.4</v>
      </c>
      <c r="Y50" s="106">
        <f>SUMIFS(ConsevationBuildoutTracker!$X18:$X598,ConsevationBuildoutTracker!$E18:$E598,"CE",ConsevationBuildoutTracker!$I18:$I598,Y$2)</f>
        <v>191</v>
      </c>
      <c r="Z50" s="106">
        <f>SUMIFS(ConsevationBuildoutTracker!$X18:$X598,ConsevationBuildoutTracker!$E18:$E598,"CE",ConsevationBuildoutTracker!$I18:$I598,Z$2)</f>
        <v>1.2529999999999999</v>
      </c>
      <c r="AA50" s="106">
        <f>SUMIFS(ConsevationBuildoutTracker!$X18:$X598,ConsevationBuildoutTracker!$E18:$E598,"CE",ConsevationBuildoutTracker!$I18:$I598,AA$2)</f>
        <v>3.47</v>
      </c>
      <c r="AB50" s="106">
        <f>SUMIFS(ConsevationBuildoutTracker!$X18:$X598,ConsevationBuildoutTracker!$E18:$E598,"CE",ConsevationBuildoutTracker!$I18:$I598,AB$2)</f>
        <v>0</v>
      </c>
      <c r="AC50" s="106">
        <f>SUMIFS(ConsevationBuildoutTracker!$X18:$X598,ConsevationBuildoutTracker!$E18:$E598,"CE",ConsevationBuildoutTracker!$I18:$I598,AC$2)</f>
        <v>0</v>
      </c>
      <c r="AD50" s="106">
        <f>SUMIFS(ConsevationBuildoutTracker!$X18:$X598,ConsevationBuildoutTracker!$E18:$E598,"CE",ConsevationBuildoutTracker!$I18:$I598,AD$2)</f>
        <v>0</v>
      </c>
      <c r="AE50" s="106">
        <f>SUMIFS(ConsevationBuildoutTracker!$X18:$X598,ConsevationBuildoutTracker!$E18:$E598,"CE",ConsevationBuildoutTracker!$I18:$I598,AE$2)</f>
        <v>0</v>
      </c>
      <c r="AF50" s="106">
        <f>SUMIFS(ConsevationBuildoutTracker!$X18:$X598,ConsevationBuildoutTracker!$E18:$E598,"CE",ConsevationBuildoutTracker!$I18:$I598,AF$2)</f>
        <v>0</v>
      </c>
      <c r="AG50" s="106">
        <f>SUMIFS(ConsevationBuildoutTracker!$X18:$X598,ConsevationBuildoutTracker!$E18:$E598,"CE",ConsevationBuildoutTracker!$I18:$I598,AG$2)</f>
        <v>0</v>
      </c>
      <c r="AH50" s="106">
        <f>SUMIFS(ConsevationBuildoutTracker!$X18:$X598,ConsevationBuildoutTracker!$E18:$E598,"CE",ConsevationBuildoutTracker!$I18:$I598,AH$2)</f>
        <v>0</v>
      </c>
      <c r="AI50" s="106">
        <f>SUMIFS(ConsevationBuildoutTracker!$X18:$X598,ConsevationBuildoutTracker!$E18:$E598,"CE",ConsevationBuildoutTracker!$I18:$I598,AI$2)</f>
        <v>0</v>
      </c>
      <c r="AJ50" s="106">
        <f>SUMIFS(ConsevationBuildoutTracker!$X18:$X598,ConsevationBuildoutTracker!$E18:$E598,"CE",ConsevationBuildoutTracker!$I18:$I598,AJ$2)</f>
        <v>0</v>
      </c>
      <c r="AK50" s="106">
        <f>SUMIFS(ConsevationBuildoutTracker!$X18:$X598,ConsevationBuildoutTracker!$E18:$E598,"CE",ConsevationBuildoutTracker!$I18:$I598,AK$2)</f>
        <v>0</v>
      </c>
    </row>
    <row r="51" spans="2:37" s="85" customFormat="1" x14ac:dyDescent="0.25">
      <c r="B51" s="104"/>
      <c r="C51" s="173"/>
      <c r="E51" s="85" t="s">
        <v>225</v>
      </c>
      <c r="H51" s="223" t="s">
        <v>1950</v>
      </c>
      <c r="I51" s="97"/>
      <c r="J51" s="97"/>
      <c r="K51" s="97"/>
      <c r="L51" s="97"/>
      <c r="M51" s="97">
        <f>SUMIFS(ConsevationBuildoutTracker!$Y18:$Y598,ConsevationBuildoutTracker!$E18:$E598,"CE",ConsevationBuildoutTracker!$I18:$I598,M$2)</f>
        <v>123</v>
      </c>
      <c r="N51" s="97">
        <f>SUMIFS(ConsevationBuildoutTracker!$Y18:$Y598,ConsevationBuildoutTracker!$E18:$E598,"CE",ConsevationBuildoutTracker!$I18:$I598,N$2)</f>
        <v>881.21</v>
      </c>
      <c r="O51" s="97">
        <f>SUMIFS(ConsevationBuildoutTracker!$Y18:$Y598,ConsevationBuildoutTracker!$E18:$E598,"CE",ConsevationBuildoutTracker!$I18:$I598,O$2)</f>
        <v>72.11</v>
      </c>
      <c r="P51" s="97">
        <f>SUMIFS(ConsevationBuildoutTracker!$Y18:$Y598,ConsevationBuildoutTracker!$E18:$E598,"CE",ConsevationBuildoutTracker!$I18:$I598,P$2)</f>
        <v>46.56</v>
      </c>
      <c r="Q51" s="97">
        <f>SUMIFS(ConsevationBuildoutTracker!$Y18:$Y598,ConsevationBuildoutTracker!$E18:$E598,"CE",ConsevationBuildoutTracker!$I18:$I598,Q$2)</f>
        <v>43.63</v>
      </c>
      <c r="R51" s="97">
        <f>SUMIFS(ConsevationBuildoutTracker!$Y18:$Y598,ConsevationBuildoutTracker!$E18:$E598,"CE",ConsevationBuildoutTracker!$I18:$I598,R$2)</f>
        <v>21.29</v>
      </c>
      <c r="S51" s="97">
        <f>SUMIFS(ConsevationBuildoutTracker!$Y18:$Y598,ConsevationBuildoutTracker!$E18:$E598,"CE",ConsevationBuildoutTracker!$I18:$I598,S$2)</f>
        <v>376.28</v>
      </c>
      <c r="T51" s="97">
        <f>SUMIFS(ConsevationBuildoutTracker!$Y18:$Y598,ConsevationBuildoutTracker!$E18:$E598,"CE",ConsevationBuildoutTracker!$I18:$I598,T$2)</f>
        <v>249.22000000000003</v>
      </c>
      <c r="U51" s="97">
        <f>SUMIFS(ConsevationBuildoutTracker!$Y18:$Y598,ConsevationBuildoutTracker!$E18:$E598,"CE",ConsevationBuildoutTracker!$I18:$I598,U$2)</f>
        <v>248.14000000000001</v>
      </c>
      <c r="V51" s="97">
        <f>SUMIFS(ConsevationBuildoutTracker!$Y18:$Y598,ConsevationBuildoutTracker!$E18:$E598,"CE",ConsevationBuildoutTracker!$I18:$I598,V$2)</f>
        <v>119.45</v>
      </c>
      <c r="W51" s="97">
        <f>SUMIFS(ConsevationBuildoutTracker!$Y18:$Y598,ConsevationBuildoutTracker!$E18:$E598,"CE",ConsevationBuildoutTracker!$I18:$I598,W$2)</f>
        <v>105.5</v>
      </c>
      <c r="X51" s="97">
        <f>SUMIFS(ConsevationBuildoutTracker!$Y18:$Y598,ConsevationBuildoutTracker!$E18:$E598,"CE",ConsevationBuildoutTracker!$I18:$I598,X$2)</f>
        <v>113.4</v>
      </c>
      <c r="Y51" s="97">
        <f>SUMIFS(ConsevationBuildoutTracker!$Y18:$Y598,ConsevationBuildoutTracker!$E18:$E598,"CE",ConsevationBuildoutTracker!$I18:$I598,Y$2)</f>
        <v>104.3</v>
      </c>
      <c r="Z51" s="97">
        <f>SUMIFS(ConsevationBuildoutTracker!$Y18:$Y598,ConsevationBuildoutTracker!$E18:$E598,"CE",ConsevationBuildoutTracker!$I18:$I598,Z$2)</f>
        <v>0</v>
      </c>
      <c r="AA51" s="97">
        <f>SUMIFS(ConsevationBuildoutTracker!$Y18:$Y598,ConsevationBuildoutTracker!$E18:$E598,"CE",ConsevationBuildoutTracker!$I18:$I598,AA$2)</f>
        <v>0</v>
      </c>
      <c r="AB51" s="97">
        <f>SUMIFS(ConsevationBuildoutTracker!$Y18:$Y598,ConsevationBuildoutTracker!$E18:$E598,"CE",ConsevationBuildoutTracker!$I18:$I598,AB$2)</f>
        <v>0</v>
      </c>
      <c r="AC51" s="97">
        <f>SUMIFS(ConsevationBuildoutTracker!$Y18:$Y598,ConsevationBuildoutTracker!$E18:$E598,"CE",ConsevationBuildoutTracker!$I18:$I598,AC$2)</f>
        <v>0</v>
      </c>
      <c r="AD51" s="97">
        <f>SUMIFS(ConsevationBuildoutTracker!$Y18:$Y598,ConsevationBuildoutTracker!$E18:$E598,"CE",ConsevationBuildoutTracker!$I18:$I598,AD$2)</f>
        <v>0</v>
      </c>
      <c r="AE51" s="97">
        <f>SUMIFS(ConsevationBuildoutTracker!$Y18:$Y598,ConsevationBuildoutTracker!$E18:$E598,"CE",ConsevationBuildoutTracker!$I18:$I598,AE$2)</f>
        <v>0</v>
      </c>
      <c r="AF51" s="97">
        <f>SUMIFS(ConsevationBuildoutTracker!$Y18:$Y598,ConsevationBuildoutTracker!$E18:$E598,"CE",ConsevationBuildoutTracker!$I18:$I598,AF$2)</f>
        <v>0</v>
      </c>
      <c r="AG51" s="97">
        <f>SUMIFS(ConsevationBuildoutTracker!$Y18:$Y598,ConsevationBuildoutTracker!$E18:$E598,"CE",ConsevationBuildoutTracker!$I18:$I598,AG$2)</f>
        <v>0</v>
      </c>
      <c r="AH51" s="97">
        <f>SUMIFS(ConsevationBuildoutTracker!$Y18:$Y598,ConsevationBuildoutTracker!$E18:$E598,"CE",ConsevationBuildoutTracker!$I18:$I598,AH$2)</f>
        <v>0</v>
      </c>
      <c r="AI51" s="97">
        <f>SUMIFS(ConsevationBuildoutTracker!$Y18:$Y598,ConsevationBuildoutTracker!$E18:$E598,"CE",ConsevationBuildoutTracker!$I18:$I598,AI$2)</f>
        <v>0</v>
      </c>
      <c r="AJ51" s="97">
        <f>SUMIFS(ConsevationBuildoutTracker!$Y18:$Y598,ConsevationBuildoutTracker!$E18:$E598,"CE",ConsevationBuildoutTracker!$I18:$I598,AJ$2)</f>
        <v>0</v>
      </c>
      <c r="AK51" s="97">
        <f>SUMIFS(ConsevationBuildoutTracker!$Y18:$Y598,ConsevationBuildoutTracker!$E18:$E598,"CE",ConsevationBuildoutTracker!$I18:$I598,AK$2)</f>
        <v>0</v>
      </c>
    </row>
    <row r="52" spans="2:37" s="85" customFormat="1" x14ac:dyDescent="0.25">
      <c r="B52" s="104"/>
      <c r="C52" s="173"/>
      <c r="E52" s="85" t="s">
        <v>226</v>
      </c>
      <c r="H52" s="223" t="s">
        <v>1950</v>
      </c>
      <c r="I52" s="97"/>
      <c r="J52" s="97"/>
      <c r="K52" s="97"/>
      <c r="L52" s="97"/>
      <c r="M52" s="97">
        <f>SUMIFS(ConsevationBuildoutTracker!$Z18:$Z598,ConsevationBuildoutTracker!$E18:$E598,"CE",ConsevationBuildoutTracker!$I18:$I598,M$2)</f>
        <v>507</v>
      </c>
      <c r="N52" s="97">
        <f>SUMIFS(ConsevationBuildoutTracker!$Z18:$Z598,ConsevationBuildoutTracker!$E18:$E598,"CE",ConsevationBuildoutTracker!$I18:$I598,N$2)</f>
        <v>1016.72</v>
      </c>
      <c r="O52" s="97">
        <f>SUMIFS(ConsevationBuildoutTracker!$Z18:$Z598,ConsevationBuildoutTracker!$E18:$E598,"CE",ConsevationBuildoutTracker!$I18:$I598,O$2)</f>
        <v>8.8000000000000007</v>
      </c>
      <c r="P52" s="97">
        <f>SUMIFS(ConsevationBuildoutTracker!$Z18:$Z598,ConsevationBuildoutTracker!$E18:$E598,"CE",ConsevationBuildoutTracker!$I18:$I598,P$2)</f>
        <v>2</v>
      </c>
      <c r="Q52" s="97">
        <f>SUMIFS(ConsevationBuildoutTracker!$Z18:$Z598,ConsevationBuildoutTracker!$E18:$E598,"CE",ConsevationBuildoutTracker!$I18:$I598,Q$2)</f>
        <v>0</v>
      </c>
      <c r="R52" s="97">
        <f>SUMIFS(ConsevationBuildoutTracker!$Z18:$Z598,ConsevationBuildoutTracker!$E18:$E598,"CE",ConsevationBuildoutTracker!$I18:$I598,R$2)</f>
        <v>0</v>
      </c>
      <c r="S52" s="97">
        <f>SUMIFS(ConsevationBuildoutTracker!$Z18:$Z598,ConsevationBuildoutTracker!$E18:$E598,"CE",ConsevationBuildoutTracker!$I18:$I598,S$2)</f>
        <v>0.34</v>
      </c>
      <c r="T52" s="97">
        <f>SUMIFS(ConsevationBuildoutTracker!$Z18:$Z598,ConsevationBuildoutTracker!$E18:$E598,"CE",ConsevationBuildoutTracker!$I18:$I598,T$2)</f>
        <v>181.29</v>
      </c>
      <c r="U52" s="97">
        <f>SUMIFS(ConsevationBuildoutTracker!$Z18:$Z598,ConsevationBuildoutTracker!$E18:$E598,"CE",ConsevationBuildoutTracker!$I18:$I598,U$2)</f>
        <v>70.69</v>
      </c>
      <c r="V52" s="97">
        <f>SUMIFS(ConsevationBuildoutTracker!$Z18:$Z598,ConsevationBuildoutTracker!$E18:$E598,"CE",ConsevationBuildoutTracker!$I18:$I598,V$2)</f>
        <v>71</v>
      </c>
      <c r="W52" s="97">
        <f>SUMIFS(ConsevationBuildoutTracker!$Z18:$Z598,ConsevationBuildoutTracker!$E18:$E598,"CE",ConsevationBuildoutTracker!$I18:$I598,W$2)</f>
        <v>61.5</v>
      </c>
      <c r="X52" s="97">
        <f>SUMIFS(ConsevationBuildoutTracker!$Z18:$Z598,ConsevationBuildoutTracker!$E18:$E598,"CE",ConsevationBuildoutTracker!$I18:$I598,X$2)</f>
        <v>35</v>
      </c>
      <c r="Y52" s="97">
        <f>SUMIFS(ConsevationBuildoutTracker!$Z18:$Z598,ConsevationBuildoutTracker!$E18:$E598,"CE",ConsevationBuildoutTracker!$I18:$I598,Y$2)</f>
        <v>35</v>
      </c>
      <c r="Z52" s="97">
        <f>SUMIFS(ConsevationBuildoutTracker!$Z18:$Z598,ConsevationBuildoutTracker!$E18:$E598,"CE",ConsevationBuildoutTracker!$I18:$I598,Z$2)</f>
        <v>0</v>
      </c>
      <c r="AA52" s="97">
        <f>SUMIFS(ConsevationBuildoutTracker!$Z18:$Z598,ConsevationBuildoutTracker!$E18:$E598,"CE",ConsevationBuildoutTracker!$I18:$I598,AA$2)</f>
        <v>2.38</v>
      </c>
      <c r="AB52" s="97">
        <f>SUMIFS(ConsevationBuildoutTracker!$Z18:$Z598,ConsevationBuildoutTracker!$E18:$E598,"CE",ConsevationBuildoutTracker!$I18:$I598,AB$2)</f>
        <v>0</v>
      </c>
      <c r="AC52" s="97">
        <f>SUMIFS(ConsevationBuildoutTracker!$Z18:$Z598,ConsevationBuildoutTracker!$E18:$E598,"CE",ConsevationBuildoutTracker!$I18:$I598,AC$2)</f>
        <v>0</v>
      </c>
      <c r="AD52" s="97">
        <f>SUMIFS(ConsevationBuildoutTracker!$Z18:$Z598,ConsevationBuildoutTracker!$E18:$E598,"CE",ConsevationBuildoutTracker!$I18:$I598,AD$2)</f>
        <v>0</v>
      </c>
      <c r="AE52" s="97">
        <f>SUMIFS(ConsevationBuildoutTracker!$Z18:$Z598,ConsevationBuildoutTracker!$E18:$E598,"CE",ConsevationBuildoutTracker!$I18:$I598,AE$2)</f>
        <v>0</v>
      </c>
      <c r="AF52" s="97">
        <f>SUMIFS(ConsevationBuildoutTracker!$Z18:$Z598,ConsevationBuildoutTracker!$E18:$E598,"CE",ConsevationBuildoutTracker!$I18:$I598,AF$2)</f>
        <v>0</v>
      </c>
      <c r="AG52" s="97">
        <f>SUMIFS(ConsevationBuildoutTracker!$Z18:$Z598,ConsevationBuildoutTracker!$E18:$E598,"CE",ConsevationBuildoutTracker!$I18:$I598,AG$2)</f>
        <v>0</v>
      </c>
      <c r="AH52" s="97">
        <f>SUMIFS(ConsevationBuildoutTracker!$Z18:$Z598,ConsevationBuildoutTracker!$E18:$E598,"CE",ConsevationBuildoutTracker!$I18:$I598,AH$2)</f>
        <v>0</v>
      </c>
      <c r="AI52" s="97">
        <f>SUMIFS(ConsevationBuildoutTracker!$Z18:$Z598,ConsevationBuildoutTracker!$E18:$E598,"CE",ConsevationBuildoutTracker!$I18:$I598,AI$2)</f>
        <v>0</v>
      </c>
      <c r="AJ52" s="97">
        <f>SUMIFS(ConsevationBuildoutTracker!$Z18:$Z598,ConsevationBuildoutTracker!$E18:$E598,"CE",ConsevationBuildoutTracker!$I18:$I598,AJ$2)</f>
        <v>0</v>
      </c>
      <c r="AK52" s="97">
        <f>SUMIFS(ConsevationBuildoutTracker!$Z18:$Z598,ConsevationBuildoutTracker!$E18:$E598,"CE",ConsevationBuildoutTracker!$I18:$I598,AK$2)</f>
        <v>0</v>
      </c>
    </row>
    <row r="53" spans="2:37" s="85" customFormat="1" x14ac:dyDescent="0.25">
      <c r="B53" s="104"/>
      <c r="C53" s="173"/>
      <c r="E53" s="85" t="s">
        <v>235</v>
      </c>
      <c r="H53" s="223" t="s">
        <v>1950</v>
      </c>
      <c r="I53" s="97"/>
      <c r="J53" s="97"/>
      <c r="K53" s="97"/>
      <c r="L53" s="97"/>
      <c r="M53" s="97">
        <f>SUMIFS(ConsevationBuildoutTracker!$AA18:$AA598,ConsevationBuildoutTracker!$E18:$E598,"CE",ConsevationBuildoutTracker!$I18:$I598,M$2)</f>
        <v>507</v>
      </c>
      <c r="N53" s="97">
        <f>SUMIFS(ConsevationBuildoutTracker!$AA18:$AA598,ConsevationBuildoutTracker!$E18:$E598,"CE",ConsevationBuildoutTracker!$I18:$I598,N$2)</f>
        <v>2018.7099999999998</v>
      </c>
      <c r="O53" s="97">
        <f>SUMIFS(ConsevationBuildoutTracker!$AA18:$AA598,ConsevationBuildoutTracker!$E18:$E598,"CE",ConsevationBuildoutTracker!$I18:$I598,O$2)</f>
        <v>70.86</v>
      </c>
      <c r="P53" s="97">
        <f>SUMIFS(ConsevationBuildoutTracker!$AA18:$AA598,ConsevationBuildoutTracker!$E18:$E598,"CE",ConsevationBuildoutTracker!$I18:$I598,P$2)</f>
        <v>0</v>
      </c>
      <c r="Q53" s="97">
        <f>SUMIFS(ConsevationBuildoutTracker!$AA18:$AA598,ConsevationBuildoutTracker!$E18:$E598,"CE",ConsevationBuildoutTracker!$I18:$I598,Q$2)</f>
        <v>0</v>
      </c>
      <c r="R53" s="97">
        <f>SUMIFS(ConsevationBuildoutTracker!$AA18:$AA598,ConsevationBuildoutTracker!$E18:$E598,"CE",ConsevationBuildoutTracker!$I18:$I598,R$2)</f>
        <v>0</v>
      </c>
      <c r="S53" s="97">
        <f>SUMIFS(ConsevationBuildoutTracker!$AA18:$AA598,ConsevationBuildoutTracker!$E18:$E598,"CE",ConsevationBuildoutTracker!$I18:$I598,S$2)</f>
        <v>153</v>
      </c>
      <c r="T53" s="97">
        <f>SUMIFS(ConsevationBuildoutTracker!$AA18:$AA598,ConsevationBuildoutTracker!$E18:$E598,"CE",ConsevationBuildoutTracker!$I18:$I598,T$2)</f>
        <v>0</v>
      </c>
      <c r="U53" s="97">
        <f>SUMIFS(ConsevationBuildoutTracker!$AA18:$AA598,ConsevationBuildoutTracker!$E18:$E598,"CE",ConsevationBuildoutTracker!$I18:$I598,U$2)</f>
        <v>70.69</v>
      </c>
      <c r="V53" s="97">
        <f>SUMIFS(ConsevationBuildoutTracker!$AA18:$AA598,ConsevationBuildoutTracker!$E18:$E598,"CE",ConsevationBuildoutTracker!$I18:$I598,V$2)</f>
        <v>378</v>
      </c>
      <c r="W53" s="97">
        <f>SUMIFS(ConsevationBuildoutTracker!$AA18:$AA598,ConsevationBuildoutTracker!$E18:$E598,"CE",ConsevationBuildoutTracker!$I18:$I598,W$2)</f>
        <v>0</v>
      </c>
      <c r="X53" s="97">
        <f>SUMIFS(ConsevationBuildoutTracker!$AA18:$AA598,ConsevationBuildoutTracker!$E18:$E598,"CE",ConsevationBuildoutTracker!$I18:$I598,X$2)</f>
        <v>0</v>
      </c>
      <c r="Y53" s="97">
        <f>SUMIFS(ConsevationBuildoutTracker!$AA18:$AA598,ConsevationBuildoutTracker!$E18:$E598,"CE",ConsevationBuildoutTracker!$I18:$I598,Y$2)</f>
        <v>156</v>
      </c>
      <c r="Z53" s="97">
        <f>SUMIFS(ConsevationBuildoutTracker!$AA18:$AA598,ConsevationBuildoutTracker!$E18:$E598,"CE",ConsevationBuildoutTracker!$I18:$I598,Z$2)</f>
        <v>0</v>
      </c>
      <c r="AA53" s="97">
        <f>SUMIFS(ConsevationBuildoutTracker!$AA18:$AA598,ConsevationBuildoutTracker!$E18:$E598,"CE",ConsevationBuildoutTracker!$I18:$I598,AA$2)</f>
        <v>0</v>
      </c>
      <c r="AB53" s="97">
        <f>SUMIFS(ConsevationBuildoutTracker!$AA18:$AA598,ConsevationBuildoutTracker!$E18:$E598,"CE",ConsevationBuildoutTracker!$I18:$I598,AB$2)</f>
        <v>0</v>
      </c>
      <c r="AC53" s="97">
        <f>SUMIFS(ConsevationBuildoutTracker!$AA18:$AA598,ConsevationBuildoutTracker!$E18:$E598,"CE",ConsevationBuildoutTracker!$I18:$I598,AC$2)</f>
        <v>0</v>
      </c>
      <c r="AD53" s="97">
        <f>SUMIFS(ConsevationBuildoutTracker!$AA18:$AA598,ConsevationBuildoutTracker!$E18:$E598,"CE",ConsevationBuildoutTracker!$I18:$I598,AD$2)</f>
        <v>0</v>
      </c>
      <c r="AE53" s="97">
        <f>SUMIFS(ConsevationBuildoutTracker!$AA18:$AA598,ConsevationBuildoutTracker!$E18:$E598,"CE",ConsevationBuildoutTracker!$I18:$I598,AE$2)</f>
        <v>0</v>
      </c>
      <c r="AF53" s="97">
        <f>SUMIFS(ConsevationBuildoutTracker!$AA18:$AA598,ConsevationBuildoutTracker!$E18:$E598,"CE",ConsevationBuildoutTracker!$I18:$I598,AF$2)</f>
        <v>0</v>
      </c>
      <c r="AG53" s="97">
        <f>SUMIFS(ConsevationBuildoutTracker!$AA18:$AA598,ConsevationBuildoutTracker!$E18:$E598,"CE",ConsevationBuildoutTracker!$I18:$I598,AG$2)</f>
        <v>0</v>
      </c>
      <c r="AH53" s="97">
        <f>SUMIFS(ConsevationBuildoutTracker!$AA18:$AA598,ConsevationBuildoutTracker!$E18:$E598,"CE",ConsevationBuildoutTracker!$I18:$I598,AH$2)</f>
        <v>0</v>
      </c>
      <c r="AI53" s="97">
        <f>SUMIFS(ConsevationBuildoutTracker!$AA18:$AA598,ConsevationBuildoutTracker!$E18:$E598,"CE",ConsevationBuildoutTracker!$I18:$I598,AI$2)</f>
        <v>0</v>
      </c>
      <c r="AJ53" s="97">
        <f>SUMIFS(ConsevationBuildoutTracker!$AA18:$AA598,ConsevationBuildoutTracker!$E18:$E598,"CE",ConsevationBuildoutTracker!$I18:$I598,AJ$2)</f>
        <v>0</v>
      </c>
      <c r="AK53" s="97">
        <f>SUMIFS(ConsevationBuildoutTracker!$AA18:$AA598,ConsevationBuildoutTracker!$E18:$E598,"CE",ConsevationBuildoutTracker!$I18:$I598,AK$2)</f>
        <v>0</v>
      </c>
    </row>
    <row r="54" spans="2:37" s="103" customFormat="1" x14ac:dyDescent="0.25">
      <c r="B54" s="279"/>
      <c r="C54" s="105"/>
      <c r="D54" s="103" t="s">
        <v>1870</v>
      </c>
      <c r="H54" s="223" t="s">
        <v>1950</v>
      </c>
      <c r="I54" s="106"/>
      <c r="J54" s="106"/>
      <c r="K54" s="106"/>
      <c r="L54" s="106">
        <f t="shared" ref="L54:V57" si="0">M54-M50</f>
        <v>18764.719999999998</v>
      </c>
      <c r="M54" s="106">
        <f t="shared" si="0"/>
        <v>19271.719999999998</v>
      </c>
      <c r="N54" s="106">
        <f t="shared" si="0"/>
        <v>21735.499999999996</v>
      </c>
      <c r="O54" s="106">
        <f t="shared" si="0"/>
        <v>21816.409999999996</v>
      </c>
      <c r="P54" s="106">
        <f t="shared" si="0"/>
        <v>21897.949999999997</v>
      </c>
      <c r="Q54" s="106">
        <f t="shared" si="0"/>
        <v>22023.429999999997</v>
      </c>
      <c r="R54" s="106">
        <f t="shared" si="0"/>
        <v>22044.719999999998</v>
      </c>
      <c r="S54" s="106">
        <f t="shared" si="0"/>
        <v>22518.519999999997</v>
      </c>
      <c r="T54" s="106">
        <f t="shared" si="0"/>
        <v>22777.899999999998</v>
      </c>
      <c r="U54" s="106">
        <f t="shared" si="0"/>
        <v>23099.98</v>
      </c>
      <c r="V54" s="106">
        <f t="shared" si="0"/>
        <v>23525.279999999999</v>
      </c>
      <c r="W54" s="106">
        <f>X54-X50</f>
        <v>23630.78</v>
      </c>
      <c r="X54" s="106">
        <v>23744.18</v>
      </c>
      <c r="Y54" s="106">
        <f>X54+Y50</f>
        <v>23935.18</v>
      </c>
      <c r="Z54" s="106">
        <f t="shared" ref="Z54:AK54" si="1">Y54+Z50</f>
        <v>23936.433000000001</v>
      </c>
      <c r="AA54" s="106">
        <f t="shared" si="1"/>
        <v>23939.903000000002</v>
      </c>
      <c r="AB54" s="106">
        <f t="shared" si="1"/>
        <v>23939.903000000002</v>
      </c>
      <c r="AC54" s="106">
        <f t="shared" si="1"/>
        <v>23939.903000000002</v>
      </c>
      <c r="AD54" s="106">
        <f t="shared" si="1"/>
        <v>23939.903000000002</v>
      </c>
      <c r="AE54" s="106">
        <f t="shared" si="1"/>
        <v>23939.903000000002</v>
      </c>
      <c r="AF54" s="106">
        <f t="shared" si="1"/>
        <v>23939.903000000002</v>
      </c>
      <c r="AG54" s="106">
        <f t="shared" si="1"/>
        <v>23939.903000000002</v>
      </c>
      <c r="AH54" s="106">
        <f t="shared" si="1"/>
        <v>23939.903000000002</v>
      </c>
      <c r="AI54" s="106">
        <f t="shared" si="1"/>
        <v>23939.903000000002</v>
      </c>
      <c r="AJ54" s="106">
        <f t="shared" si="1"/>
        <v>23939.903000000002</v>
      </c>
      <c r="AK54" s="106">
        <f t="shared" si="1"/>
        <v>23939.903000000002</v>
      </c>
    </row>
    <row r="55" spans="2:37" s="85" customFormat="1" x14ac:dyDescent="0.25">
      <c r="B55" s="104"/>
      <c r="C55" s="173"/>
      <c r="E55" s="85" t="s">
        <v>225</v>
      </c>
      <c r="H55" s="223" t="s">
        <v>1950</v>
      </c>
      <c r="I55" s="97"/>
      <c r="J55" s="97"/>
      <c r="K55" s="97"/>
      <c r="L55" s="97">
        <f t="shared" si="0"/>
        <v>9645.84</v>
      </c>
      <c r="M55" s="97">
        <f t="shared" si="0"/>
        <v>9768.84</v>
      </c>
      <c r="N55" s="97">
        <f t="shared" si="0"/>
        <v>10650.05</v>
      </c>
      <c r="O55" s="97">
        <f t="shared" si="0"/>
        <v>10722.16</v>
      </c>
      <c r="P55" s="97">
        <f t="shared" si="0"/>
        <v>10768.72</v>
      </c>
      <c r="Q55" s="97">
        <f t="shared" si="0"/>
        <v>10812.349999999999</v>
      </c>
      <c r="R55" s="97">
        <f t="shared" si="0"/>
        <v>10833.64</v>
      </c>
      <c r="S55" s="97">
        <f t="shared" si="0"/>
        <v>11209.92</v>
      </c>
      <c r="T55" s="97">
        <f t="shared" si="0"/>
        <v>11459.14</v>
      </c>
      <c r="U55" s="97">
        <f t="shared" si="0"/>
        <v>11707.279999999999</v>
      </c>
      <c r="V55" s="97">
        <f t="shared" si="0"/>
        <v>11826.73</v>
      </c>
      <c r="W55" s="97">
        <f t="shared" ref="W55:W57" si="2">X55-X51</f>
        <v>11932.23</v>
      </c>
      <c r="X55" s="97">
        <v>12045.63</v>
      </c>
      <c r="Y55" s="97">
        <f t="shared" ref="Y55:AK57" si="3">X55+Y51</f>
        <v>12149.929999999998</v>
      </c>
      <c r="Z55" s="97">
        <f t="shared" si="3"/>
        <v>12149.929999999998</v>
      </c>
      <c r="AA55" s="97">
        <f t="shared" si="3"/>
        <v>12149.929999999998</v>
      </c>
      <c r="AB55" s="97">
        <f t="shared" si="3"/>
        <v>12149.929999999998</v>
      </c>
      <c r="AC55" s="97">
        <f t="shared" si="3"/>
        <v>12149.929999999998</v>
      </c>
      <c r="AD55" s="97">
        <f t="shared" si="3"/>
        <v>12149.929999999998</v>
      </c>
      <c r="AE55" s="97">
        <f t="shared" si="3"/>
        <v>12149.929999999998</v>
      </c>
      <c r="AF55" s="97">
        <f t="shared" si="3"/>
        <v>12149.929999999998</v>
      </c>
      <c r="AG55" s="97">
        <f t="shared" si="3"/>
        <v>12149.929999999998</v>
      </c>
      <c r="AH55" s="97">
        <f t="shared" si="3"/>
        <v>12149.929999999998</v>
      </c>
      <c r="AI55" s="97">
        <f t="shared" si="3"/>
        <v>12149.929999999998</v>
      </c>
      <c r="AJ55" s="97">
        <f t="shared" si="3"/>
        <v>12149.929999999998</v>
      </c>
      <c r="AK55" s="97">
        <f t="shared" si="3"/>
        <v>12149.929999999998</v>
      </c>
    </row>
    <row r="56" spans="2:37" s="85" customFormat="1" x14ac:dyDescent="0.25">
      <c r="B56" s="104"/>
      <c r="C56" s="173"/>
      <c r="E56" s="85" t="s">
        <v>226</v>
      </c>
      <c r="H56" s="223" t="s">
        <v>1950</v>
      </c>
      <c r="I56" s="97"/>
      <c r="J56" s="97"/>
      <c r="K56" s="97"/>
      <c r="L56" s="97">
        <f t="shared" si="0"/>
        <v>8533.8799999999992</v>
      </c>
      <c r="M56" s="97">
        <f t="shared" si="0"/>
        <v>9040.8799999999992</v>
      </c>
      <c r="N56" s="97">
        <f t="shared" si="0"/>
        <v>10057.599999999999</v>
      </c>
      <c r="O56" s="97">
        <f t="shared" si="0"/>
        <v>10066.399999999998</v>
      </c>
      <c r="P56" s="97">
        <f t="shared" si="0"/>
        <v>10068.399999999998</v>
      </c>
      <c r="Q56" s="97">
        <f t="shared" si="0"/>
        <v>10068.399999999998</v>
      </c>
      <c r="R56" s="97">
        <f t="shared" si="0"/>
        <v>10068.399999999998</v>
      </c>
      <c r="S56" s="97">
        <f t="shared" si="0"/>
        <v>10068.739999999998</v>
      </c>
      <c r="T56" s="97">
        <f t="shared" si="0"/>
        <v>10250.029999999999</v>
      </c>
      <c r="U56" s="97">
        <f t="shared" si="0"/>
        <v>10320.719999999999</v>
      </c>
      <c r="V56" s="97">
        <f t="shared" si="0"/>
        <v>10391.719999999999</v>
      </c>
      <c r="W56" s="97">
        <f t="shared" si="2"/>
        <v>10453.219999999999</v>
      </c>
      <c r="X56" s="97">
        <v>10488.22</v>
      </c>
      <c r="Y56" s="97">
        <f t="shared" si="3"/>
        <v>10523.22</v>
      </c>
      <c r="Z56" s="97">
        <f t="shared" si="3"/>
        <v>10523.22</v>
      </c>
      <c r="AA56" s="97">
        <f t="shared" si="3"/>
        <v>10525.599999999999</v>
      </c>
      <c r="AB56" s="97">
        <f t="shared" si="3"/>
        <v>10525.599999999999</v>
      </c>
      <c r="AC56" s="97">
        <f t="shared" si="3"/>
        <v>10525.599999999999</v>
      </c>
      <c r="AD56" s="97">
        <f t="shared" si="3"/>
        <v>10525.599999999999</v>
      </c>
      <c r="AE56" s="97">
        <f t="shared" si="3"/>
        <v>10525.599999999999</v>
      </c>
      <c r="AF56" s="97">
        <f t="shared" si="3"/>
        <v>10525.599999999999</v>
      </c>
      <c r="AG56" s="97">
        <f t="shared" si="3"/>
        <v>10525.599999999999</v>
      </c>
      <c r="AH56" s="97">
        <f t="shared" si="3"/>
        <v>10525.599999999999</v>
      </c>
      <c r="AI56" s="97">
        <f t="shared" si="3"/>
        <v>10525.599999999999</v>
      </c>
      <c r="AJ56" s="97">
        <f t="shared" si="3"/>
        <v>10525.599999999999</v>
      </c>
      <c r="AK56" s="97">
        <f t="shared" si="3"/>
        <v>10525.599999999999</v>
      </c>
    </row>
    <row r="57" spans="2:37" s="85" customFormat="1" x14ac:dyDescent="0.25">
      <c r="B57" s="104"/>
      <c r="C57" s="173"/>
      <c r="E57" s="85" t="s">
        <v>235</v>
      </c>
      <c r="H57" s="223" t="s">
        <v>1950</v>
      </c>
      <c r="I57" s="97"/>
      <c r="J57" s="97"/>
      <c r="K57" s="97"/>
      <c r="L57" s="97">
        <f t="shared" si="0"/>
        <v>8414.58</v>
      </c>
      <c r="M57" s="97">
        <f t="shared" si="0"/>
        <v>8921.58</v>
      </c>
      <c r="N57" s="97">
        <f t="shared" si="0"/>
        <v>10940.289999999999</v>
      </c>
      <c r="O57" s="97">
        <f t="shared" si="0"/>
        <v>11011.15</v>
      </c>
      <c r="P57" s="97">
        <f t="shared" si="0"/>
        <v>11011.15</v>
      </c>
      <c r="Q57" s="97">
        <f t="shared" si="0"/>
        <v>11011.15</v>
      </c>
      <c r="R57" s="97">
        <f t="shared" si="0"/>
        <v>11011.15</v>
      </c>
      <c r="S57" s="97">
        <f t="shared" si="0"/>
        <v>11164.15</v>
      </c>
      <c r="T57" s="97">
        <f t="shared" si="0"/>
        <v>11164.15</v>
      </c>
      <c r="U57" s="97">
        <f t="shared" si="0"/>
        <v>11234.84</v>
      </c>
      <c r="V57" s="97">
        <f t="shared" si="0"/>
        <v>11612.84</v>
      </c>
      <c r="W57" s="97">
        <f t="shared" si="2"/>
        <v>11612.84</v>
      </c>
      <c r="X57" s="97">
        <v>11612.84</v>
      </c>
      <c r="Y57" s="97">
        <f t="shared" si="3"/>
        <v>11768.84</v>
      </c>
      <c r="Z57" s="97">
        <f t="shared" si="3"/>
        <v>11768.84</v>
      </c>
      <c r="AA57" s="97">
        <f t="shared" si="3"/>
        <v>11768.84</v>
      </c>
      <c r="AB57" s="97">
        <f t="shared" si="3"/>
        <v>11768.84</v>
      </c>
      <c r="AC57" s="97">
        <f t="shared" si="3"/>
        <v>11768.84</v>
      </c>
      <c r="AD57" s="97">
        <f t="shared" si="3"/>
        <v>11768.84</v>
      </c>
      <c r="AE57" s="97">
        <f t="shared" si="3"/>
        <v>11768.84</v>
      </c>
      <c r="AF57" s="97">
        <f t="shared" si="3"/>
        <v>11768.84</v>
      </c>
      <c r="AG57" s="97">
        <f t="shared" si="3"/>
        <v>11768.84</v>
      </c>
      <c r="AH57" s="97">
        <f t="shared" si="3"/>
        <v>11768.84</v>
      </c>
      <c r="AI57" s="97">
        <f t="shared" si="3"/>
        <v>11768.84</v>
      </c>
      <c r="AJ57" s="97">
        <f t="shared" si="3"/>
        <v>11768.84</v>
      </c>
      <c r="AK57" s="97">
        <f t="shared" si="3"/>
        <v>11768.84</v>
      </c>
    </row>
    <row r="58" spans="2:37" s="103" customFormat="1" x14ac:dyDescent="0.25">
      <c r="B58" s="279"/>
      <c r="C58" s="105"/>
      <c r="D58" s="103" t="s">
        <v>1949</v>
      </c>
      <c r="H58" t="s">
        <v>1015</v>
      </c>
      <c r="I58" s="106"/>
      <c r="J58" s="106"/>
      <c r="K58" s="106"/>
      <c r="L58" s="106"/>
      <c r="M58" s="106">
        <f>Datasheet!M24*-1</f>
        <v>31</v>
      </c>
      <c r="N58" s="106">
        <f>Datasheet!N24*-1</f>
        <v>89</v>
      </c>
      <c r="O58" s="106">
        <f>Datasheet!O24*-1</f>
        <v>5</v>
      </c>
      <c r="P58" s="106">
        <f>Datasheet!P24*-1</f>
        <v>2</v>
      </c>
      <c r="Q58" s="106">
        <f>Datasheet!Q24*-1</f>
        <v>1</v>
      </c>
      <c r="R58" s="106">
        <f>Datasheet!R24*-1</f>
        <v>1</v>
      </c>
      <c r="S58" s="106">
        <f>Datasheet!S24*-1</f>
        <v>28</v>
      </c>
      <c r="T58" s="106">
        <f>Datasheet!T24*-1</f>
        <v>10</v>
      </c>
      <c r="U58" s="106">
        <f>Datasheet!U24*-1</f>
        <v>14</v>
      </c>
      <c r="V58" s="106">
        <f>Datasheet!V24*-1</f>
        <v>91</v>
      </c>
      <c r="W58" s="106">
        <f>Datasheet!W24*-1</f>
        <v>1</v>
      </c>
      <c r="X58" s="106">
        <f>Datasheet!X24*-1</f>
        <v>3</v>
      </c>
      <c r="Y58" s="106">
        <f>Datasheet!Y24*-1</f>
        <v>6</v>
      </c>
      <c r="Z58" s="106">
        <f>Datasheet!Z24*-1</f>
        <v>0</v>
      </c>
      <c r="AA58" s="106">
        <f>Datasheet!AA24*-1</f>
        <v>0</v>
      </c>
      <c r="AB58" s="106">
        <f>Datasheet!AB24*-1</f>
        <v>0</v>
      </c>
      <c r="AC58" s="106">
        <f>Datasheet!AC24*-1</f>
        <v>0</v>
      </c>
      <c r="AD58" s="106">
        <f>Datasheet!AD24*-1</f>
        <v>0</v>
      </c>
      <c r="AE58" s="106">
        <f>Datasheet!AE24*-1</f>
        <v>0</v>
      </c>
      <c r="AF58" s="106">
        <f>Datasheet!AF24*-1</f>
        <v>0</v>
      </c>
      <c r="AG58" s="106">
        <f>Datasheet!AG24*-1</f>
        <v>0</v>
      </c>
      <c r="AH58" s="106">
        <f>Datasheet!AH24*-1</f>
        <v>0</v>
      </c>
      <c r="AI58" s="106">
        <f>Datasheet!AI24*-1</f>
        <v>0</v>
      </c>
      <c r="AJ58" s="106">
        <f>Datasheet!AJ24*-1</f>
        <v>0</v>
      </c>
      <c r="AK58" s="106">
        <f>Datasheet!AK24*-1</f>
        <v>0</v>
      </c>
    </row>
    <row r="59" spans="2:37" s="85" customFormat="1" x14ac:dyDescent="0.25">
      <c r="B59" s="104"/>
      <c r="C59" s="173" t="s">
        <v>822</v>
      </c>
      <c r="H59"/>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row>
    <row r="60" spans="2:37" s="103" customFormat="1" x14ac:dyDescent="0.25">
      <c r="B60" s="279"/>
      <c r="C60" s="105"/>
      <c r="D60" s="103" t="s">
        <v>1948</v>
      </c>
      <c r="H60" s="223" t="s">
        <v>1015</v>
      </c>
      <c r="I60" s="106"/>
      <c r="J60" s="106"/>
      <c r="K60" s="106"/>
      <c r="L60" s="106"/>
      <c r="M60" s="106"/>
      <c r="N60" s="106"/>
      <c r="O60" s="106"/>
      <c r="P60" s="106"/>
      <c r="Q60" s="106">
        <f>SUMIFS(ConsevationBuildoutTracker!$W18:$W598,ConsevationBuildoutTracker!$E18:$E598,"S/D",ConsevationBuildoutTracker!$I18:$I598,Q$2)</f>
        <v>27</v>
      </c>
      <c r="R60" s="106">
        <f>SUMIFS(ConsevationBuildoutTracker!$W18:$W598,ConsevationBuildoutTracker!$E18:$E598,"S/D",ConsevationBuildoutTracker!$I18:$I598,R$2)</f>
        <v>1</v>
      </c>
      <c r="S60" s="106">
        <f>SUMIFS(ConsevationBuildoutTracker!$W18:$W598,ConsevationBuildoutTracker!$E18:$E598,"S/D",ConsevationBuildoutTracker!$I18:$I598,S$2)</f>
        <v>4</v>
      </c>
      <c r="T60" s="106">
        <f>SUMIFS(ConsevationBuildoutTracker!$W18:$W598,ConsevationBuildoutTracker!$E18:$E598,"S/D",ConsevationBuildoutTracker!$I18:$I598,T$2)</f>
        <v>11</v>
      </c>
      <c r="U60" s="106">
        <f>SUMIFS(ConsevationBuildoutTracker!$W18:$W598,ConsevationBuildoutTracker!$E18:$E598,"S/D",ConsevationBuildoutTracker!$I18:$I598,U$2)</f>
        <v>0</v>
      </c>
      <c r="V60" s="106">
        <f>SUMIFS(ConsevationBuildoutTracker!$W18:$W598,ConsevationBuildoutTracker!$E18:$E598,"S/D",ConsevationBuildoutTracker!$I18:$I598,V$2)</f>
        <v>3</v>
      </c>
      <c r="W60" s="106">
        <f>SUMIFS(ConsevationBuildoutTracker!$W18:$W598,ConsevationBuildoutTracker!$E18:$E598,"S/D",ConsevationBuildoutTracker!$I18:$I598,W$2)</f>
        <v>4</v>
      </c>
      <c r="X60" s="106">
        <f>SUMIFS(ConsevationBuildoutTracker!$W18:$W598,ConsevationBuildoutTracker!$E18:$E598,"S/D",ConsevationBuildoutTracker!$I18:$I598,X$2)</f>
        <v>60</v>
      </c>
      <c r="Y60" s="106">
        <f>SUMIFS(ConsevationBuildoutTracker!$W18:$W598,ConsevationBuildoutTracker!$E18:$E598,"S/D",ConsevationBuildoutTracker!$I18:$I598,Y$2)</f>
        <v>4</v>
      </c>
      <c r="Z60" s="106">
        <f>SUMIFS(ConsevationBuildoutTracker!$W18:$W598,ConsevationBuildoutTracker!$E18:$E598,"S/D",ConsevationBuildoutTracker!$I18:$I598,Z$2)</f>
        <v>5</v>
      </c>
      <c r="AA60" s="106">
        <f>SUMIFS(ConsevationBuildoutTracker!$W18:$W598,ConsevationBuildoutTracker!$E18:$E598,"S/D",ConsevationBuildoutTracker!$I18:$I598,AA$2)</f>
        <v>2</v>
      </c>
      <c r="AB60" s="106">
        <f>SUMIFS(ConsevationBuildoutTracker!$W18:$W598,ConsevationBuildoutTracker!$E18:$E598,"S/D",ConsevationBuildoutTracker!$I18:$I598,AB$2)</f>
        <v>2</v>
      </c>
      <c r="AC60" s="106">
        <f>SUMIFS(ConsevationBuildoutTracker!$W18:$W598,ConsevationBuildoutTracker!$E18:$E598,"S/D",ConsevationBuildoutTracker!$I18:$I598,AC$2)</f>
        <v>0</v>
      </c>
      <c r="AD60" s="106">
        <f>SUMIFS(ConsevationBuildoutTracker!$W18:$W598,ConsevationBuildoutTracker!$E18:$E598,"S/D",ConsevationBuildoutTracker!$I18:$I598,AD$2)</f>
        <v>0</v>
      </c>
      <c r="AE60" s="106">
        <f>SUMIFS(ConsevationBuildoutTracker!$W18:$W598,ConsevationBuildoutTracker!$E18:$E598,"S/D",ConsevationBuildoutTracker!$I18:$I598,AE$2)</f>
        <v>0</v>
      </c>
      <c r="AF60" s="106">
        <f>SUMIFS(ConsevationBuildoutTracker!$W18:$W598,ConsevationBuildoutTracker!$E18:$E598,"S/D",ConsevationBuildoutTracker!$I18:$I598,AF$2)</f>
        <v>0</v>
      </c>
      <c r="AG60" s="106">
        <f>SUMIFS(ConsevationBuildoutTracker!$W18:$W598,ConsevationBuildoutTracker!$E18:$E598,"S/D",ConsevationBuildoutTracker!$I18:$I598,AG$2)</f>
        <v>0</v>
      </c>
      <c r="AH60" s="106">
        <f>SUMIFS(ConsevationBuildoutTracker!$W18:$W598,ConsevationBuildoutTracker!$E18:$E598,"S/D",ConsevationBuildoutTracker!$I18:$I598,AH$2)</f>
        <v>0</v>
      </c>
      <c r="AI60" s="106">
        <f>SUMIFS(ConsevationBuildoutTracker!$W18:$W598,ConsevationBuildoutTracker!$E18:$E598,"S/D",ConsevationBuildoutTracker!$I18:$I598,AI$2)</f>
        <v>0</v>
      </c>
      <c r="AJ60" s="106">
        <f>SUMIFS(ConsevationBuildoutTracker!$W18:$W598,ConsevationBuildoutTracker!$E18:$E598,"S/D",ConsevationBuildoutTracker!$I18:$I598,AJ$2)</f>
        <v>0</v>
      </c>
      <c r="AK60" s="106">
        <f>SUMIFS(ConsevationBuildoutTracker!$W18:$W598,ConsevationBuildoutTracker!$E18:$E598,"S/D",ConsevationBuildoutTracker!$I18:$I598,AK$2)</f>
        <v>0</v>
      </c>
    </row>
    <row r="61" spans="2:37" s="85" customFormat="1" x14ac:dyDescent="0.25">
      <c r="B61" s="104"/>
      <c r="C61" s="173"/>
      <c r="E61" s="85" t="s">
        <v>1936</v>
      </c>
      <c r="H61" s="223" t="s">
        <v>1015</v>
      </c>
      <c r="I61" s="97"/>
      <c r="J61" s="97"/>
      <c r="K61" s="97"/>
      <c r="L61" s="97"/>
      <c r="M61" s="97"/>
      <c r="N61" s="97"/>
      <c r="O61" s="97"/>
      <c r="P61" s="97"/>
      <c r="Q61" s="97">
        <f>SUMIFS(ConsevationBuildoutTracker!$W18:$W598,ConsevationBuildoutTracker!$E18:$E598,"S/D",ConsevationBuildoutTracker!$AB18:$AB598,"PRD",ConsevationBuildoutTracker!$I18:$I598,Q$2)</f>
        <v>0</v>
      </c>
      <c r="R61" s="97">
        <f>SUMIFS(ConsevationBuildoutTracker!$W18:$W598,ConsevationBuildoutTracker!$E18:$E598,"S/D",ConsevationBuildoutTracker!$AB18:$AB598,"PRD",ConsevationBuildoutTracker!$I18:$I598,R$2)</f>
        <v>0</v>
      </c>
      <c r="S61" s="97">
        <f>SUMIFS(ConsevationBuildoutTracker!$W18:$W598,ConsevationBuildoutTracker!$E18:$E598,"S/D",ConsevationBuildoutTracker!$AB18:$AB598,"PRD",ConsevationBuildoutTracker!$I18:$I598,S$2)</f>
        <v>2</v>
      </c>
      <c r="T61" s="97">
        <f>SUMIFS(ConsevationBuildoutTracker!$W18:$W598,ConsevationBuildoutTracker!$E18:$E598,"S/D",ConsevationBuildoutTracker!$AB18:$AB598,"PRD",ConsevationBuildoutTracker!$I18:$I598,T$2)</f>
        <v>0</v>
      </c>
      <c r="U61" s="97">
        <f>SUMIFS(ConsevationBuildoutTracker!$W18:$W598,ConsevationBuildoutTracker!$E18:$E598,"S/D",ConsevationBuildoutTracker!$AB18:$AB598,"PRD",ConsevationBuildoutTracker!$I18:$I598,U$2)</f>
        <v>0</v>
      </c>
      <c r="V61" s="97">
        <f>SUMIFS(ConsevationBuildoutTracker!$W18:$W598,ConsevationBuildoutTracker!$E18:$E598,"S/D",ConsevationBuildoutTracker!$AB18:$AB598,"PRD",ConsevationBuildoutTracker!$I18:$I598,V$2)</f>
        <v>0</v>
      </c>
      <c r="W61" s="97">
        <f>SUMIFS(ConsevationBuildoutTracker!$W18:$W598,ConsevationBuildoutTracker!$E18:$E598,"S/D",ConsevationBuildoutTracker!$AB18:$AB598,"PRD",ConsevationBuildoutTracker!$I18:$I598,W$2)</f>
        <v>0</v>
      </c>
      <c r="X61" s="97">
        <f>SUMIFS(ConsevationBuildoutTracker!$W18:$W598,ConsevationBuildoutTracker!$E18:$E598,"S/D",ConsevationBuildoutTracker!$AB18:$AB598,"PRD",ConsevationBuildoutTracker!$I18:$I598,X$2)</f>
        <v>4</v>
      </c>
      <c r="Y61" s="97">
        <f>SUMIFS(ConsevationBuildoutTracker!$W18:$W598,ConsevationBuildoutTracker!$E18:$E598,"S/D",ConsevationBuildoutTracker!$AB18:$AB598,"PRD",ConsevationBuildoutTracker!$I18:$I598,Y$2)</f>
        <v>0</v>
      </c>
      <c r="Z61" s="97">
        <f>SUMIFS(ConsevationBuildoutTracker!$W18:$W598,ConsevationBuildoutTracker!$E18:$E598,"S/D",ConsevationBuildoutTracker!$AB18:$AB598,"PRD",ConsevationBuildoutTracker!$I18:$I598,Z$2)</f>
        <v>0</v>
      </c>
      <c r="AA61" s="97">
        <f>SUMIFS(ConsevationBuildoutTracker!$W18:$W598,ConsevationBuildoutTracker!$E18:$E598,"S/D",ConsevationBuildoutTracker!$AB18:$AB598,"PRD",ConsevationBuildoutTracker!$I18:$I598,AA$2)</f>
        <v>0</v>
      </c>
      <c r="AB61" s="97">
        <f>SUMIFS(ConsevationBuildoutTracker!$W18:$W598,ConsevationBuildoutTracker!$E18:$E598,"S/D",ConsevationBuildoutTracker!$AB18:$AB598,"PRD",ConsevationBuildoutTracker!$I18:$I598,AB$2)</f>
        <v>0</v>
      </c>
      <c r="AC61" s="97">
        <f>SUMIFS(ConsevationBuildoutTracker!$W18:$W598,ConsevationBuildoutTracker!$E18:$E598,"S/D",ConsevationBuildoutTracker!$AB18:$AB598,"PRD",ConsevationBuildoutTracker!$I18:$I598,AC$2)</f>
        <v>0</v>
      </c>
      <c r="AD61" s="97">
        <f>SUMIFS(ConsevationBuildoutTracker!$W18:$W598,ConsevationBuildoutTracker!$E18:$E598,"S/D",ConsevationBuildoutTracker!$AB18:$AB598,"PRD",ConsevationBuildoutTracker!$I18:$I598,AD$2)</f>
        <v>0</v>
      </c>
      <c r="AE61" s="97">
        <f>SUMIFS(ConsevationBuildoutTracker!$W18:$W598,ConsevationBuildoutTracker!$E18:$E598,"S/D",ConsevationBuildoutTracker!$AB18:$AB598,"PRD",ConsevationBuildoutTracker!$I18:$I598,AE$2)</f>
        <v>0</v>
      </c>
      <c r="AF61" s="97">
        <f>SUMIFS(ConsevationBuildoutTracker!$W18:$W598,ConsevationBuildoutTracker!$E18:$E598,"S/D",ConsevationBuildoutTracker!$AB18:$AB598,"PRD",ConsevationBuildoutTracker!$I18:$I598,AF$2)</f>
        <v>0</v>
      </c>
      <c r="AG61" s="97">
        <f>SUMIFS(ConsevationBuildoutTracker!$W18:$W598,ConsevationBuildoutTracker!$E18:$E598,"S/D",ConsevationBuildoutTracker!$AB18:$AB598,"PRD",ConsevationBuildoutTracker!$I18:$I598,AG$2)</f>
        <v>0</v>
      </c>
      <c r="AH61" s="97">
        <f>SUMIFS(ConsevationBuildoutTracker!$W18:$W598,ConsevationBuildoutTracker!$E18:$E598,"S/D",ConsevationBuildoutTracker!$AB18:$AB598,"PRD",ConsevationBuildoutTracker!$I18:$I598,AH$2)</f>
        <v>0</v>
      </c>
      <c r="AI61" s="97">
        <f>SUMIFS(ConsevationBuildoutTracker!$W18:$W598,ConsevationBuildoutTracker!$E18:$E598,"S/D",ConsevationBuildoutTracker!$AB18:$AB598,"PRD",ConsevationBuildoutTracker!$I18:$I598,AI$2)</f>
        <v>0</v>
      </c>
      <c r="AJ61" s="97">
        <f>SUMIFS(ConsevationBuildoutTracker!$W18:$W598,ConsevationBuildoutTracker!$E18:$E598,"S/D",ConsevationBuildoutTracker!$AB18:$AB598,"PRD",ConsevationBuildoutTracker!$I18:$I598,AJ$2)</f>
        <v>0</v>
      </c>
      <c r="AK61" s="97">
        <f>SUMIFS(ConsevationBuildoutTracker!$W18:$W598,ConsevationBuildoutTracker!$E18:$E598,"S/D",ConsevationBuildoutTracker!$AB18:$AB598,"PRD",ConsevationBuildoutTracker!$I18:$I598,AK$2)</f>
        <v>0</v>
      </c>
    </row>
    <row r="62" spans="2:37" s="85" customFormat="1" x14ac:dyDescent="0.25">
      <c r="B62" s="104"/>
      <c r="C62" s="173"/>
      <c r="E62" s="85" t="s">
        <v>1937</v>
      </c>
      <c r="H62" s="223" t="s">
        <v>1015</v>
      </c>
      <c r="I62" s="97"/>
      <c r="J62" s="97"/>
      <c r="K62" s="97"/>
      <c r="L62" s="97"/>
      <c r="M62" s="97"/>
      <c r="N62" s="97"/>
      <c r="O62" s="97"/>
      <c r="P62" s="97"/>
      <c r="Q62" s="97">
        <f>SUMIFS(ConsevationBuildoutTracker!$W18:$W598,ConsevationBuildoutTracker!$E18:$E598,"S/D",ConsevationBuildoutTracker!$AB18:$AB598,"35",ConsevationBuildoutTracker!$I18:$I598,Q$2)</f>
        <v>2</v>
      </c>
      <c r="R62" s="97">
        <f>SUMIFS(ConsevationBuildoutTracker!$W18:$W598,ConsevationBuildoutTracker!$E18:$E598,"S/D",ConsevationBuildoutTracker!$AB18:$AB598,"35",ConsevationBuildoutTracker!$I18:$I598,R$2)</f>
        <v>0</v>
      </c>
      <c r="S62" s="97">
        <f>SUMIFS(ConsevationBuildoutTracker!$W18:$W598,ConsevationBuildoutTracker!$E18:$E598,"S/D",ConsevationBuildoutTracker!$AB18:$AB598,"35",ConsevationBuildoutTracker!$I18:$I598,S$2)</f>
        <v>0</v>
      </c>
      <c r="T62" s="97">
        <f>SUMIFS(ConsevationBuildoutTracker!$W18:$W598,ConsevationBuildoutTracker!$E18:$E598,"S/D",ConsevationBuildoutTracker!$AB18:$AB598,"35",ConsevationBuildoutTracker!$I18:$I598,T$2)</f>
        <v>1</v>
      </c>
      <c r="U62" s="97">
        <f>SUMIFS(ConsevationBuildoutTracker!$W18:$W598,ConsevationBuildoutTracker!$E18:$E598,"S/D",ConsevationBuildoutTracker!$AB18:$AB598,"35",ConsevationBuildoutTracker!$I18:$I598,U$2)</f>
        <v>0</v>
      </c>
      <c r="V62" s="97">
        <f>SUMIFS(ConsevationBuildoutTracker!$W18:$W598,ConsevationBuildoutTracker!$E18:$E598,"S/D",ConsevationBuildoutTracker!$AB18:$AB598,"35",ConsevationBuildoutTracker!$I18:$I598,V$2)</f>
        <v>3</v>
      </c>
      <c r="W62" s="97">
        <f>SUMIFS(ConsevationBuildoutTracker!$W18:$W598,ConsevationBuildoutTracker!$E18:$E598,"S/D",ConsevationBuildoutTracker!$AB18:$AB598,"35",ConsevationBuildoutTracker!$I18:$I598,W$2)</f>
        <v>1</v>
      </c>
      <c r="X62" s="97">
        <f>SUMIFS(ConsevationBuildoutTracker!$W18:$W598,ConsevationBuildoutTracker!$E18:$E598,"S/D",ConsevationBuildoutTracker!$AB18:$AB598,"35",ConsevationBuildoutTracker!$I18:$I598,X$2)</f>
        <v>21</v>
      </c>
      <c r="Y62" s="97">
        <f>SUMIFS(ConsevationBuildoutTracker!$W18:$W598,ConsevationBuildoutTracker!$E18:$E598,"S/D",ConsevationBuildoutTracker!$AB18:$AB598,"35",ConsevationBuildoutTracker!$I18:$I598,Y$2)</f>
        <v>3</v>
      </c>
      <c r="Z62" s="97">
        <f>SUMIFS(ConsevationBuildoutTracker!$W18:$W598,ConsevationBuildoutTracker!$E18:$E598,"S/D",ConsevationBuildoutTracker!$AB18:$AB598,"35",ConsevationBuildoutTracker!$I18:$I598,Z$2)</f>
        <v>1</v>
      </c>
      <c r="AA62" s="97">
        <f>SUMIFS(ConsevationBuildoutTracker!$W18:$W598,ConsevationBuildoutTracker!$E18:$E598,"S/D",ConsevationBuildoutTracker!$AB18:$AB598,"35",ConsevationBuildoutTracker!$I18:$I598,AA$2)</f>
        <v>2</v>
      </c>
      <c r="AB62" s="97">
        <f>SUMIFS(ConsevationBuildoutTracker!$W18:$W598,ConsevationBuildoutTracker!$E18:$E598,"S/D",ConsevationBuildoutTracker!$AB18:$AB598,"35",ConsevationBuildoutTracker!$I18:$I598,AB$2)</f>
        <v>0</v>
      </c>
      <c r="AC62" s="97">
        <f>SUMIFS(ConsevationBuildoutTracker!$W18:$W598,ConsevationBuildoutTracker!$E18:$E598,"S/D",ConsevationBuildoutTracker!$AB18:$AB598,"35",ConsevationBuildoutTracker!$I18:$I598,AC$2)</f>
        <v>0</v>
      </c>
      <c r="AD62" s="97">
        <f>SUMIFS(ConsevationBuildoutTracker!$W18:$W598,ConsevationBuildoutTracker!$E18:$E598,"S/D",ConsevationBuildoutTracker!$AB18:$AB598,"35",ConsevationBuildoutTracker!$I18:$I598,AD$2)</f>
        <v>0</v>
      </c>
      <c r="AE62" s="97">
        <f>SUMIFS(ConsevationBuildoutTracker!$W18:$W598,ConsevationBuildoutTracker!$E18:$E598,"S/D",ConsevationBuildoutTracker!$AB18:$AB598,"35",ConsevationBuildoutTracker!$I18:$I598,AE$2)</f>
        <v>0</v>
      </c>
      <c r="AF62" s="97">
        <f>SUMIFS(ConsevationBuildoutTracker!$W18:$W598,ConsevationBuildoutTracker!$E18:$E598,"S/D",ConsevationBuildoutTracker!$AB18:$AB598,"35",ConsevationBuildoutTracker!$I18:$I598,AF$2)</f>
        <v>0</v>
      </c>
      <c r="AG62" s="97">
        <f>SUMIFS(ConsevationBuildoutTracker!$W18:$W598,ConsevationBuildoutTracker!$E18:$E598,"S/D",ConsevationBuildoutTracker!$AB18:$AB598,"35",ConsevationBuildoutTracker!$I18:$I598,AG$2)</f>
        <v>0</v>
      </c>
      <c r="AH62" s="97">
        <f>SUMIFS(ConsevationBuildoutTracker!$W18:$W598,ConsevationBuildoutTracker!$E18:$E598,"S/D",ConsevationBuildoutTracker!$AB18:$AB598,"35",ConsevationBuildoutTracker!$I18:$I598,AH$2)</f>
        <v>0</v>
      </c>
      <c r="AI62" s="97">
        <f>SUMIFS(ConsevationBuildoutTracker!$W18:$W598,ConsevationBuildoutTracker!$E18:$E598,"S/D",ConsevationBuildoutTracker!$AB18:$AB598,"35",ConsevationBuildoutTracker!$I18:$I598,AI$2)</f>
        <v>0</v>
      </c>
      <c r="AJ62" s="97">
        <f>SUMIFS(ConsevationBuildoutTracker!$W18:$W598,ConsevationBuildoutTracker!$E18:$E598,"S/D",ConsevationBuildoutTracker!$AB18:$AB598,"35",ConsevationBuildoutTracker!$I18:$I598,AJ$2)</f>
        <v>0</v>
      </c>
      <c r="AK62" s="97">
        <f>SUMIFS(ConsevationBuildoutTracker!$W18:$W598,ConsevationBuildoutTracker!$E18:$E598,"S/D",ConsevationBuildoutTracker!$AB18:$AB598,"35",ConsevationBuildoutTracker!$I18:$I598,AK$2)</f>
        <v>0</v>
      </c>
    </row>
    <row r="63" spans="2:37" s="85" customFormat="1" x14ac:dyDescent="0.25">
      <c r="B63" s="104"/>
      <c r="C63" s="173"/>
      <c r="E63" s="85" t="s">
        <v>1938</v>
      </c>
      <c r="H63" s="223" t="s">
        <v>1015</v>
      </c>
      <c r="I63" s="97"/>
      <c r="J63" s="97"/>
      <c r="K63" s="97"/>
      <c r="L63" s="97"/>
      <c r="M63" s="97"/>
      <c r="N63" s="97"/>
      <c r="O63" s="97"/>
      <c r="P63" s="97"/>
      <c r="Q63" s="97">
        <f>Q60-SUM(Q61:Q62)</f>
        <v>25</v>
      </c>
      <c r="R63" s="97">
        <f>R60-SUM(R61:R62)</f>
        <v>1</v>
      </c>
      <c r="S63" s="97">
        <f t="shared" ref="S63:AK63" si="4">S60-SUM(S61:S62)</f>
        <v>2</v>
      </c>
      <c r="T63" s="97">
        <f t="shared" si="4"/>
        <v>10</v>
      </c>
      <c r="U63" s="97">
        <f t="shared" si="4"/>
        <v>0</v>
      </c>
      <c r="V63" s="97">
        <f t="shared" si="4"/>
        <v>0</v>
      </c>
      <c r="W63" s="97">
        <f t="shared" si="4"/>
        <v>3</v>
      </c>
      <c r="X63" s="97">
        <f t="shared" si="4"/>
        <v>35</v>
      </c>
      <c r="Y63" s="97">
        <f t="shared" si="4"/>
        <v>1</v>
      </c>
      <c r="Z63" s="97">
        <f t="shared" si="4"/>
        <v>4</v>
      </c>
      <c r="AA63" s="97">
        <f t="shared" si="4"/>
        <v>0</v>
      </c>
      <c r="AB63" s="97">
        <f t="shared" si="4"/>
        <v>2</v>
      </c>
      <c r="AC63" s="97">
        <f t="shared" si="4"/>
        <v>0</v>
      </c>
      <c r="AD63" s="97">
        <f t="shared" si="4"/>
        <v>0</v>
      </c>
      <c r="AE63" s="97">
        <f t="shared" si="4"/>
        <v>0</v>
      </c>
      <c r="AF63" s="97">
        <f t="shared" si="4"/>
        <v>0</v>
      </c>
      <c r="AG63" s="97">
        <f t="shared" si="4"/>
        <v>0</v>
      </c>
      <c r="AH63" s="97">
        <f t="shared" si="4"/>
        <v>0</v>
      </c>
      <c r="AI63" s="97">
        <f t="shared" si="4"/>
        <v>0</v>
      </c>
      <c r="AJ63" s="97">
        <f t="shared" si="4"/>
        <v>0</v>
      </c>
      <c r="AK63" s="97">
        <f t="shared" si="4"/>
        <v>0</v>
      </c>
    </row>
    <row r="64" spans="2:37" s="103" customFormat="1" x14ac:dyDescent="0.25">
      <c r="B64" s="279"/>
      <c r="C64" s="105"/>
      <c r="D64" s="103" t="s">
        <v>1947</v>
      </c>
      <c r="H64" t="s">
        <v>1950</v>
      </c>
      <c r="I64" s="106"/>
      <c r="J64" s="106"/>
      <c r="K64" s="106"/>
      <c r="L64" s="106"/>
      <c r="M64" s="106"/>
      <c r="N64" s="106"/>
      <c r="O64" s="106"/>
      <c r="P64" s="106"/>
      <c r="Q64" s="106">
        <f>SUMIFS(ConsevationBuildoutTracker!$X18:$X598,ConsevationBuildoutTracker!$E18:$E598,"S/D",ConsevationBuildoutTracker!$I18:$I598,Q$2)</f>
        <v>152.51</v>
      </c>
      <c r="R64" s="106">
        <f>SUMIFS(ConsevationBuildoutTracker!$X18:$X598,ConsevationBuildoutTracker!$E18:$E598,"S/D",ConsevationBuildoutTracker!$I18:$I598,R$2)</f>
        <v>33.64</v>
      </c>
      <c r="S64" s="106">
        <f>SUMIFS(ConsevationBuildoutTracker!$X18:$X598,ConsevationBuildoutTracker!$E18:$E598,"S/D",ConsevationBuildoutTracker!$I18:$I598,S$2)</f>
        <v>37.03</v>
      </c>
      <c r="T64" s="106">
        <f>SUMIFS(ConsevationBuildoutTracker!$X18:$X598,ConsevationBuildoutTracker!$E18:$E598,"S/D",ConsevationBuildoutTracker!$I18:$I598,T$2)</f>
        <v>82.490000000000009</v>
      </c>
      <c r="U64" s="106">
        <f>SUMIFS(ConsevationBuildoutTracker!$X18:$X598,ConsevationBuildoutTracker!$E18:$E598,"S/D",ConsevationBuildoutTracker!$I18:$I598,U$2)</f>
        <v>0</v>
      </c>
      <c r="V64" s="106">
        <f>SUMIFS(ConsevationBuildoutTracker!$X18:$X598,ConsevationBuildoutTracker!$E18:$E598,"S/D",ConsevationBuildoutTracker!$I18:$I598,V$2)</f>
        <v>111.39</v>
      </c>
      <c r="W64" s="106">
        <f>SUMIFS(ConsevationBuildoutTracker!$X18:$X598,ConsevationBuildoutTracker!$E18:$E598,"S/D",ConsevationBuildoutTracker!$I18:$I598,W$2)</f>
        <v>63.9</v>
      </c>
      <c r="X64" s="106">
        <f>SUMIFS(ConsevationBuildoutTracker!$X18:$X598,ConsevationBuildoutTracker!$E18:$E598,"S/D",ConsevationBuildoutTracker!$I18:$I598,X$2)</f>
        <v>1045.7499999999998</v>
      </c>
      <c r="Y64" s="106">
        <f>SUMIFS(ConsevationBuildoutTracker!$X18:$X598,ConsevationBuildoutTracker!$E18:$E598,"S/D",ConsevationBuildoutTracker!$I18:$I598,Y$2)</f>
        <v>281.37</v>
      </c>
      <c r="Z64" s="106">
        <f>SUMIFS(ConsevationBuildoutTracker!$X18:$X598,ConsevationBuildoutTracker!$E18:$E598,"S/D",ConsevationBuildoutTracker!$I18:$I598,Z$2)</f>
        <v>148.78</v>
      </c>
      <c r="AA64" s="106">
        <f>SUMIFS(ConsevationBuildoutTracker!$X18:$X598,ConsevationBuildoutTracker!$E18:$E598,"S/D",ConsevationBuildoutTracker!$I18:$I598,AA$2)</f>
        <v>152.85</v>
      </c>
      <c r="AB64" s="106">
        <f>SUMIFS(ConsevationBuildoutTracker!$X18:$X598,ConsevationBuildoutTracker!$E18:$E598,"S/D",ConsevationBuildoutTracker!$I18:$I598,AB$2)</f>
        <v>26.63</v>
      </c>
      <c r="AC64" s="106">
        <f>SUMIFS(ConsevationBuildoutTracker!$X18:$X598,ConsevationBuildoutTracker!$E18:$E598,"S/D",ConsevationBuildoutTracker!$I18:$I598,AC$2)</f>
        <v>0</v>
      </c>
      <c r="AD64" s="106">
        <f>SUMIFS(ConsevationBuildoutTracker!$X18:$X598,ConsevationBuildoutTracker!$E18:$E598,"S/D",ConsevationBuildoutTracker!$I18:$I598,AD$2)</f>
        <v>0</v>
      </c>
      <c r="AE64" s="106">
        <f>SUMIFS(ConsevationBuildoutTracker!$X18:$X598,ConsevationBuildoutTracker!$E18:$E598,"S/D",ConsevationBuildoutTracker!$I18:$I598,AE$2)</f>
        <v>0</v>
      </c>
      <c r="AF64" s="106">
        <f>SUMIFS(ConsevationBuildoutTracker!$X18:$X598,ConsevationBuildoutTracker!$E18:$E598,"S/D",ConsevationBuildoutTracker!$I18:$I598,AF$2)</f>
        <v>0</v>
      </c>
      <c r="AG64" s="106">
        <f>SUMIFS(ConsevationBuildoutTracker!$X18:$X598,ConsevationBuildoutTracker!$E18:$E598,"S/D",ConsevationBuildoutTracker!$I18:$I598,AG$2)</f>
        <v>0</v>
      </c>
      <c r="AH64" s="106">
        <f>SUMIFS(ConsevationBuildoutTracker!$X18:$X598,ConsevationBuildoutTracker!$E18:$E598,"S/D",ConsevationBuildoutTracker!$I18:$I598,AH$2)</f>
        <v>0</v>
      </c>
      <c r="AI64" s="106">
        <f>SUMIFS(ConsevationBuildoutTracker!$X18:$X598,ConsevationBuildoutTracker!$E18:$E598,"S/D",ConsevationBuildoutTracker!$I18:$I598,AI$2)</f>
        <v>0</v>
      </c>
      <c r="AJ64" s="106">
        <f>SUMIFS(ConsevationBuildoutTracker!$X18:$X598,ConsevationBuildoutTracker!$E18:$E598,"S/D",ConsevationBuildoutTracker!$I18:$I598,AJ$2)</f>
        <v>0</v>
      </c>
      <c r="AK64" s="106">
        <f>SUMIFS(ConsevationBuildoutTracker!$X18:$X598,ConsevationBuildoutTracker!$E18:$E598,"S/D",ConsevationBuildoutTracker!$I18:$I598,AK$2)</f>
        <v>0</v>
      </c>
    </row>
    <row r="65" spans="1:37" s="85" customFormat="1" x14ac:dyDescent="0.25">
      <c r="B65" s="104"/>
      <c r="C65" s="173"/>
      <c r="E65" s="85" t="s">
        <v>225</v>
      </c>
      <c r="H65" s="223" t="s">
        <v>1950</v>
      </c>
      <c r="I65" s="97"/>
      <c r="J65" s="97"/>
      <c r="K65" s="97"/>
      <c r="L65" s="97"/>
      <c r="M65" s="97"/>
      <c r="N65" s="97"/>
      <c r="O65" s="97"/>
      <c r="P65" s="97"/>
      <c r="Q65" s="97">
        <f>SUMIFS(ConsevationBuildoutTracker!$Y18:$Y598,ConsevationBuildoutTracker!$E18:$E598,"S/D",ConsevationBuildoutTracker!$I18:$I598,Q$2)</f>
        <v>134.22</v>
      </c>
      <c r="R65" s="97">
        <f>SUMIFS(ConsevationBuildoutTracker!$Y18:$Y598,ConsevationBuildoutTracker!$E18:$E598,"S/D",ConsevationBuildoutTracker!$I18:$I598,R$2)</f>
        <v>33.64</v>
      </c>
      <c r="S65" s="97">
        <f>SUMIFS(ConsevationBuildoutTracker!$Y18:$Y598,ConsevationBuildoutTracker!$E18:$E598,"S/D",ConsevationBuildoutTracker!$I18:$I598,S$2)</f>
        <v>3</v>
      </c>
      <c r="T65" s="97">
        <f>SUMIFS(ConsevationBuildoutTracker!$Y18:$Y598,ConsevationBuildoutTracker!$E18:$E598,"S/D",ConsevationBuildoutTracker!$I18:$I598,T$2)</f>
        <v>52.17</v>
      </c>
      <c r="U65" s="97">
        <f>SUMIFS(ConsevationBuildoutTracker!$Y18:$Y598,ConsevationBuildoutTracker!$E18:$E598,"S/D",ConsevationBuildoutTracker!$I18:$I598,U$2)</f>
        <v>0</v>
      </c>
      <c r="V65" s="97">
        <f>SUMIFS(ConsevationBuildoutTracker!$Y18:$Y598,ConsevationBuildoutTracker!$E18:$E598,"S/D",ConsevationBuildoutTracker!$I18:$I598,V$2)</f>
        <v>91.059999999999988</v>
      </c>
      <c r="W65" s="97">
        <f>SUMIFS(ConsevationBuildoutTracker!$Y18:$Y598,ConsevationBuildoutTracker!$E18:$E598,"S/D",ConsevationBuildoutTracker!$I18:$I598,W$2)</f>
        <v>45.81</v>
      </c>
      <c r="X65" s="97">
        <f>SUMIFS(ConsevationBuildoutTracker!$Y18:$Y598,ConsevationBuildoutTracker!$E18:$E598,"S/D",ConsevationBuildoutTracker!$I18:$I598,X$2)</f>
        <v>939.24999999999989</v>
      </c>
      <c r="Y65" s="97">
        <f>SUMIFS(ConsevationBuildoutTracker!$Y18:$Y598,ConsevationBuildoutTracker!$E18:$E598,"S/D",ConsevationBuildoutTracker!$I18:$I598,Y$2)</f>
        <v>129.72</v>
      </c>
      <c r="Z65" s="97">
        <f>SUMIFS(ConsevationBuildoutTracker!$Y18:$Y598,ConsevationBuildoutTracker!$E18:$E598,"S/D",ConsevationBuildoutTracker!$I18:$I598,Z$2)</f>
        <v>40.050000000000004</v>
      </c>
      <c r="AA65" s="97">
        <f>SUMIFS(ConsevationBuildoutTracker!$Y18:$Y598,ConsevationBuildoutTracker!$E18:$E598,"S/D",ConsevationBuildoutTracker!$I18:$I598,AA$2)</f>
        <v>0</v>
      </c>
      <c r="AB65" s="97">
        <f>SUMIFS(ConsevationBuildoutTracker!$Y18:$Y598,ConsevationBuildoutTracker!$E18:$E598,"S/D",ConsevationBuildoutTracker!$I18:$I598,AB$2)</f>
        <v>0</v>
      </c>
      <c r="AC65" s="97">
        <f>SUMIFS(ConsevationBuildoutTracker!$Y18:$Y598,ConsevationBuildoutTracker!$E18:$E598,"S/D",ConsevationBuildoutTracker!$I18:$I598,AC$2)</f>
        <v>0</v>
      </c>
      <c r="AD65" s="97">
        <f>SUMIFS(ConsevationBuildoutTracker!$Y18:$Y598,ConsevationBuildoutTracker!$E18:$E598,"S/D",ConsevationBuildoutTracker!$I18:$I598,AD$2)</f>
        <v>0</v>
      </c>
      <c r="AE65" s="97">
        <f>SUMIFS(ConsevationBuildoutTracker!$Y18:$Y598,ConsevationBuildoutTracker!$E18:$E598,"S/D",ConsevationBuildoutTracker!$I18:$I598,AE$2)</f>
        <v>0</v>
      </c>
      <c r="AF65" s="97">
        <f>SUMIFS(ConsevationBuildoutTracker!$Y18:$Y598,ConsevationBuildoutTracker!$E18:$E598,"S/D",ConsevationBuildoutTracker!$I18:$I598,AF$2)</f>
        <v>0</v>
      </c>
      <c r="AG65" s="97">
        <f>SUMIFS(ConsevationBuildoutTracker!$Y18:$Y598,ConsevationBuildoutTracker!$E18:$E598,"S/D",ConsevationBuildoutTracker!$I18:$I598,AG$2)</f>
        <v>0</v>
      </c>
      <c r="AH65" s="97">
        <f>SUMIFS(ConsevationBuildoutTracker!$Y18:$Y598,ConsevationBuildoutTracker!$E18:$E598,"S/D",ConsevationBuildoutTracker!$I18:$I598,AH$2)</f>
        <v>0</v>
      </c>
      <c r="AI65" s="97">
        <f>SUMIFS(ConsevationBuildoutTracker!$Y18:$Y598,ConsevationBuildoutTracker!$E18:$E598,"S/D",ConsevationBuildoutTracker!$I18:$I598,AI$2)</f>
        <v>0</v>
      </c>
      <c r="AJ65" s="97">
        <f>SUMIFS(ConsevationBuildoutTracker!$Y18:$Y598,ConsevationBuildoutTracker!$E18:$E598,"S/D",ConsevationBuildoutTracker!$I18:$I598,AJ$2)</f>
        <v>0</v>
      </c>
      <c r="AK65" s="97">
        <f>SUMIFS(ConsevationBuildoutTracker!$Y18:$Y598,ConsevationBuildoutTracker!$E18:$E598,"S/D",ConsevationBuildoutTracker!$I18:$I598,AK$2)</f>
        <v>0</v>
      </c>
    </row>
    <row r="66" spans="1:37" s="85" customFormat="1" x14ac:dyDescent="0.25">
      <c r="B66" s="104"/>
      <c r="C66" s="173"/>
      <c r="E66" s="85" t="s">
        <v>226</v>
      </c>
      <c r="H66" s="223" t="s">
        <v>1950</v>
      </c>
      <c r="I66" s="97"/>
      <c r="J66" s="97"/>
      <c r="K66" s="97"/>
      <c r="L66" s="97"/>
      <c r="M66" s="97"/>
      <c r="N66" s="97"/>
      <c r="O66" s="97"/>
      <c r="P66" s="97"/>
      <c r="Q66" s="97">
        <f>SUMIFS(ConsevationBuildoutTracker!$Z18:$Z598,ConsevationBuildoutTracker!$E18:$E598,"S/D",ConsevationBuildoutTracker!$I18:$I598,Q$2)</f>
        <v>10.82</v>
      </c>
      <c r="R66" s="97">
        <f>SUMIFS(ConsevationBuildoutTracker!$Z18:$Z598,ConsevationBuildoutTracker!$E18:$E598,"S/D",ConsevationBuildoutTracker!$I18:$I598,R$2)</f>
        <v>0</v>
      </c>
      <c r="S66" s="97">
        <f>SUMIFS(ConsevationBuildoutTracker!$Z18:$Z598,ConsevationBuildoutTracker!$E18:$E598,"S/D",ConsevationBuildoutTracker!$I18:$I598,S$2)</f>
        <v>0</v>
      </c>
      <c r="T66" s="97">
        <f>SUMIFS(ConsevationBuildoutTracker!$Z18:$Z598,ConsevationBuildoutTracker!$E18:$E598,"S/D",ConsevationBuildoutTracker!$I18:$I598,T$2)</f>
        <v>0</v>
      </c>
      <c r="U66" s="97">
        <f>SUMIFS(ConsevationBuildoutTracker!$Z18:$Z598,ConsevationBuildoutTracker!$E18:$E598,"S/D",ConsevationBuildoutTracker!$I18:$I598,U$2)</f>
        <v>0</v>
      </c>
      <c r="V66" s="97">
        <f>SUMIFS(ConsevationBuildoutTracker!$Z18:$Z598,ConsevationBuildoutTracker!$E18:$E598,"S/D",ConsevationBuildoutTracker!$I18:$I598,V$2)</f>
        <v>37.86</v>
      </c>
      <c r="W66" s="97">
        <f>SUMIFS(ConsevationBuildoutTracker!$Z18:$Z598,ConsevationBuildoutTracker!$E18:$E598,"S/D",ConsevationBuildoutTracker!$I18:$I598,W$2)</f>
        <v>35.01</v>
      </c>
      <c r="X66" s="97">
        <f>SUMIFS(ConsevationBuildoutTracker!$Z18:$Z598,ConsevationBuildoutTracker!$E18:$E598,"S/D",ConsevationBuildoutTracker!$I18:$I598,X$2)</f>
        <v>845.38999999999987</v>
      </c>
      <c r="Y66" s="97">
        <f>SUMIFS(ConsevationBuildoutTracker!$Z18:$Z598,ConsevationBuildoutTracker!$E18:$E598,"S/D",ConsevationBuildoutTracker!$I18:$I598,Y$2)</f>
        <v>79.86</v>
      </c>
      <c r="Z66" s="97">
        <f>SUMIFS(ConsevationBuildoutTracker!$Z18:$Z598,ConsevationBuildoutTracker!$E18:$E598,"S/D",ConsevationBuildoutTracker!$I18:$I598,Z$2)</f>
        <v>0</v>
      </c>
      <c r="AA66" s="97">
        <f>SUMIFS(ConsevationBuildoutTracker!$Z18:$Z598,ConsevationBuildoutTracker!$E18:$E598,"S/D",ConsevationBuildoutTracker!$I18:$I598,AA$2)</f>
        <v>152.85</v>
      </c>
      <c r="AB66" s="97">
        <f>SUMIFS(ConsevationBuildoutTracker!$Z18:$Z598,ConsevationBuildoutTracker!$E18:$E598,"S/D",ConsevationBuildoutTracker!$I18:$I598,AB$2)</f>
        <v>0</v>
      </c>
      <c r="AC66" s="97">
        <f>SUMIFS(ConsevationBuildoutTracker!$Z18:$Z598,ConsevationBuildoutTracker!$E18:$E598,"S/D",ConsevationBuildoutTracker!$I18:$I598,AC$2)</f>
        <v>0</v>
      </c>
      <c r="AD66" s="97">
        <f>SUMIFS(ConsevationBuildoutTracker!$Z18:$Z598,ConsevationBuildoutTracker!$E18:$E598,"S/D",ConsevationBuildoutTracker!$I18:$I598,AD$2)</f>
        <v>0</v>
      </c>
      <c r="AE66" s="97">
        <f>SUMIFS(ConsevationBuildoutTracker!$Z18:$Z598,ConsevationBuildoutTracker!$E18:$E598,"S/D",ConsevationBuildoutTracker!$I18:$I598,AE$2)</f>
        <v>0</v>
      </c>
      <c r="AF66" s="97">
        <f>SUMIFS(ConsevationBuildoutTracker!$Z18:$Z598,ConsevationBuildoutTracker!$E18:$E598,"S/D",ConsevationBuildoutTracker!$I18:$I598,AF$2)</f>
        <v>0</v>
      </c>
      <c r="AG66" s="97">
        <f>SUMIFS(ConsevationBuildoutTracker!$Z18:$Z598,ConsevationBuildoutTracker!$E18:$E598,"S/D",ConsevationBuildoutTracker!$I18:$I598,AG$2)</f>
        <v>0</v>
      </c>
      <c r="AH66" s="97">
        <f>SUMIFS(ConsevationBuildoutTracker!$Z18:$Z598,ConsevationBuildoutTracker!$E18:$E598,"S/D",ConsevationBuildoutTracker!$I18:$I598,AH$2)</f>
        <v>0</v>
      </c>
      <c r="AI66" s="97">
        <f>SUMIFS(ConsevationBuildoutTracker!$Z18:$Z598,ConsevationBuildoutTracker!$E18:$E598,"S/D",ConsevationBuildoutTracker!$I18:$I598,AI$2)</f>
        <v>0</v>
      </c>
      <c r="AJ66" s="97">
        <f>SUMIFS(ConsevationBuildoutTracker!$Z18:$Z598,ConsevationBuildoutTracker!$E18:$E598,"S/D",ConsevationBuildoutTracker!$I18:$I598,AJ$2)</f>
        <v>0</v>
      </c>
      <c r="AK66" s="97">
        <f>SUMIFS(ConsevationBuildoutTracker!$Z18:$Z598,ConsevationBuildoutTracker!$E18:$E598,"S/D",ConsevationBuildoutTracker!$I18:$I598,AK$2)</f>
        <v>0</v>
      </c>
    </row>
    <row r="67" spans="1:37" s="85" customFormat="1" x14ac:dyDescent="0.25">
      <c r="B67" s="104"/>
      <c r="C67" s="173"/>
      <c r="E67" s="85" t="s">
        <v>235</v>
      </c>
      <c r="H67" s="223" t="s">
        <v>1950</v>
      </c>
      <c r="I67" s="97"/>
      <c r="J67" s="97"/>
      <c r="K67" s="97"/>
      <c r="L67" s="97"/>
      <c r="M67" s="97"/>
      <c r="N67" s="97"/>
      <c r="O67" s="97"/>
      <c r="P67" s="97"/>
      <c r="Q67" s="97">
        <f>SUMIFS(ConsevationBuildoutTracker!$AA18:$AA598,ConsevationBuildoutTracker!$E18:$E598,"S/D",ConsevationBuildoutTracker!$I18:$I598,Q$2)</f>
        <v>0</v>
      </c>
      <c r="R67" s="97">
        <f>SUMIFS(ConsevationBuildoutTracker!$AA18:$AA598,ConsevationBuildoutTracker!$E18:$E598,"S/D",ConsevationBuildoutTracker!$I18:$I598,R$2)</f>
        <v>0</v>
      </c>
      <c r="S67" s="97">
        <f>SUMIFS(ConsevationBuildoutTracker!$AA18:$AA598,ConsevationBuildoutTracker!$E18:$E598,"S/D",ConsevationBuildoutTracker!$I18:$I598,S$2)</f>
        <v>0</v>
      </c>
      <c r="T67" s="97">
        <f>SUMIFS(ConsevationBuildoutTracker!$AA18:$AA598,ConsevationBuildoutTracker!$E18:$E598,"S/D",ConsevationBuildoutTracker!$I18:$I598,T$2)</f>
        <v>74.180000000000007</v>
      </c>
      <c r="U67" s="97">
        <f>SUMIFS(ConsevationBuildoutTracker!$AA18:$AA598,ConsevationBuildoutTracker!$E18:$E598,"S/D",ConsevationBuildoutTracker!$I18:$I598,U$2)</f>
        <v>0</v>
      </c>
      <c r="V67" s="97">
        <f>SUMIFS(ConsevationBuildoutTracker!$AA18:$AA598,ConsevationBuildoutTracker!$E18:$E598,"S/D",ConsevationBuildoutTracker!$I18:$I598,V$2)</f>
        <v>111.39</v>
      </c>
      <c r="W67" s="97">
        <f>SUMIFS(ConsevationBuildoutTracker!$AA18:$AA598,ConsevationBuildoutTracker!$E18:$E598,"S/D",ConsevationBuildoutTracker!$I18:$I598,W$2)</f>
        <v>35.01</v>
      </c>
      <c r="X67" s="97">
        <f>SUMIFS(ConsevationBuildoutTracker!$AA18:$AA598,ConsevationBuildoutTracker!$E18:$E598,"S/D",ConsevationBuildoutTracker!$I18:$I598,X$2)</f>
        <v>854.24</v>
      </c>
      <c r="Y67" s="97">
        <f>SUMIFS(ConsevationBuildoutTracker!$AA18:$AA598,ConsevationBuildoutTracker!$E18:$E598,"S/D",ConsevationBuildoutTracker!$I18:$I598,Y$2)</f>
        <v>281.37</v>
      </c>
      <c r="Z67" s="97">
        <f>SUMIFS(ConsevationBuildoutTracker!$AA18:$AA598,ConsevationBuildoutTracker!$E18:$E598,"S/D",ConsevationBuildoutTracker!$I18:$I598,Z$2)</f>
        <v>101.2</v>
      </c>
      <c r="AA67" s="97">
        <f>SUMIFS(ConsevationBuildoutTracker!$AA18:$AA598,ConsevationBuildoutTracker!$E18:$E598,"S/D",ConsevationBuildoutTracker!$I18:$I598,AA$2)</f>
        <v>152.85</v>
      </c>
      <c r="AB67" s="97">
        <f>SUMIFS(ConsevationBuildoutTracker!$AA18:$AA598,ConsevationBuildoutTracker!$E18:$E598,"S/D",ConsevationBuildoutTracker!$I18:$I598,AB$2)</f>
        <v>26.63</v>
      </c>
      <c r="AC67" s="97">
        <f>SUMIFS(ConsevationBuildoutTracker!$AA18:$AA598,ConsevationBuildoutTracker!$E18:$E598,"S/D",ConsevationBuildoutTracker!$I18:$I598,AC$2)</f>
        <v>0</v>
      </c>
      <c r="AD67" s="97">
        <f>SUMIFS(ConsevationBuildoutTracker!$AA18:$AA598,ConsevationBuildoutTracker!$E18:$E598,"S/D",ConsevationBuildoutTracker!$I18:$I598,AD$2)</f>
        <v>0</v>
      </c>
      <c r="AE67" s="97">
        <f>SUMIFS(ConsevationBuildoutTracker!$AA18:$AA598,ConsevationBuildoutTracker!$E18:$E598,"S/D",ConsevationBuildoutTracker!$I18:$I598,AE$2)</f>
        <v>0</v>
      </c>
      <c r="AF67" s="97">
        <f>SUMIFS(ConsevationBuildoutTracker!$AA18:$AA598,ConsevationBuildoutTracker!$E18:$E598,"S/D",ConsevationBuildoutTracker!$I18:$I598,AF$2)</f>
        <v>0</v>
      </c>
      <c r="AG67" s="97">
        <f>SUMIFS(ConsevationBuildoutTracker!$AA18:$AA598,ConsevationBuildoutTracker!$E18:$E598,"S/D",ConsevationBuildoutTracker!$I18:$I598,AG$2)</f>
        <v>0</v>
      </c>
      <c r="AH67" s="97">
        <f>SUMIFS(ConsevationBuildoutTracker!$AA18:$AA598,ConsevationBuildoutTracker!$E18:$E598,"S/D",ConsevationBuildoutTracker!$I18:$I598,AH$2)</f>
        <v>0</v>
      </c>
      <c r="AI67" s="97">
        <f>SUMIFS(ConsevationBuildoutTracker!$AA18:$AA598,ConsevationBuildoutTracker!$E18:$E598,"S/D",ConsevationBuildoutTracker!$I18:$I598,AI$2)</f>
        <v>0</v>
      </c>
      <c r="AJ67" s="97">
        <f>SUMIFS(ConsevationBuildoutTracker!$AA18:$AA598,ConsevationBuildoutTracker!$E18:$E598,"S/D",ConsevationBuildoutTracker!$I18:$I598,AJ$2)</f>
        <v>0</v>
      </c>
      <c r="AK67" s="97">
        <f>SUMIFS(ConsevationBuildoutTracker!$AA18:$AA598,ConsevationBuildoutTracker!$E18:$E598,"S/D",ConsevationBuildoutTracker!$I18:$I598,AK$2)</f>
        <v>0</v>
      </c>
    </row>
    <row r="68" spans="1:37" s="93" customFormat="1" x14ac:dyDescent="0.25">
      <c r="B68" s="94"/>
      <c r="C68" s="95"/>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row>
    <row r="69" spans="1:37" s="80" customFormat="1" ht="17.25" x14ac:dyDescent="0.3">
      <c r="A69" s="80" t="s">
        <v>399</v>
      </c>
    </row>
    <row r="70" spans="1:37" x14ac:dyDescent="0.25">
      <c r="B70" s="64" t="s">
        <v>33</v>
      </c>
      <c r="C70" t="s">
        <v>808</v>
      </c>
    </row>
    <row r="71" spans="1:37" x14ac:dyDescent="0.25">
      <c r="B71" s="64" t="s">
        <v>626</v>
      </c>
      <c r="C71" t="s">
        <v>817</v>
      </c>
    </row>
    <row r="72" spans="1:37" x14ac:dyDescent="0.25">
      <c r="B72" s="64" t="s">
        <v>420</v>
      </c>
      <c r="C72" t="s">
        <v>815</v>
      </c>
    </row>
    <row r="73" spans="1:37" x14ac:dyDescent="0.25">
      <c r="B73" s="64"/>
      <c r="C73" t="s">
        <v>810</v>
      </c>
    </row>
    <row r="74" spans="1:37" x14ac:dyDescent="0.25">
      <c r="B74" s="64" t="s">
        <v>429</v>
      </c>
      <c r="C74" t="s">
        <v>807</v>
      </c>
    </row>
    <row r="75" spans="1:37" s="223" customFormat="1" x14ac:dyDescent="0.25">
      <c r="B75" s="64"/>
      <c r="D75" s="223" t="s">
        <v>1284</v>
      </c>
    </row>
    <row r="76" spans="1:37" x14ac:dyDescent="0.25">
      <c r="B76" s="64" t="s">
        <v>421</v>
      </c>
      <c r="C76" t="s">
        <v>807</v>
      </c>
    </row>
    <row r="77" spans="1:37" x14ac:dyDescent="0.25">
      <c r="B77" s="64" t="s">
        <v>425</v>
      </c>
      <c r="C77" t="s">
        <v>807</v>
      </c>
    </row>
    <row r="78" spans="1:37" x14ac:dyDescent="0.25">
      <c r="B78" s="64" t="s">
        <v>333</v>
      </c>
      <c r="C78" t="s">
        <v>807</v>
      </c>
    </row>
    <row r="79" spans="1:37" s="99" customFormat="1" ht="15.75" thickBot="1" x14ac:dyDescent="0.3">
      <c r="B79" s="100" t="s">
        <v>334</v>
      </c>
      <c r="C79" s="99" t="s">
        <v>807</v>
      </c>
    </row>
    <row r="80" spans="1:37" s="103" customFormat="1" ht="15.75" thickTop="1" x14ac:dyDescent="0.25">
      <c r="B80" s="104" t="s">
        <v>34</v>
      </c>
      <c r="C80" s="105"/>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106"/>
      <c r="AI80" s="106"/>
      <c r="AJ80" s="106"/>
      <c r="AK80" s="106"/>
    </row>
    <row r="81" spans="1:37" s="93" customFormat="1" x14ac:dyDescent="0.25">
      <c r="B81" s="94"/>
      <c r="C81" s="95"/>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row>
    <row r="82" spans="1:37" s="80" customFormat="1" ht="17.25" x14ac:dyDescent="0.3">
      <c r="A82" s="80" t="s">
        <v>809</v>
      </c>
    </row>
    <row r="83" spans="1:37" x14ac:dyDescent="0.25">
      <c r="B83" s="64" t="s">
        <v>33</v>
      </c>
      <c r="C83" t="s">
        <v>808</v>
      </c>
    </row>
    <row r="84" spans="1:37" x14ac:dyDescent="0.25">
      <c r="B84" s="64" t="s">
        <v>626</v>
      </c>
      <c r="C84" t="s">
        <v>818</v>
      </c>
    </row>
    <row r="85" spans="1:37" x14ac:dyDescent="0.25">
      <c r="B85" s="64" t="s">
        <v>420</v>
      </c>
      <c r="C85" t="s">
        <v>815</v>
      </c>
    </row>
    <row r="86" spans="1:37" x14ac:dyDescent="0.25">
      <c r="B86" s="64"/>
      <c r="C86" t="s">
        <v>810</v>
      </c>
    </row>
    <row r="87" spans="1:37" x14ac:dyDescent="0.25">
      <c r="B87" s="64" t="s">
        <v>429</v>
      </c>
      <c r="C87" t="s">
        <v>807</v>
      </c>
    </row>
    <row r="88" spans="1:37" x14ac:dyDescent="0.25">
      <c r="B88" s="64"/>
      <c r="D88" t="s">
        <v>1283</v>
      </c>
    </row>
    <row r="89" spans="1:37" x14ac:dyDescent="0.25">
      <c r="B89" s="64" t="s">
        <v>421</v>
      </c>
      <c r="C89" t="s">
        <v>807</v>
      </c>
    </row>
    <row r="90" spans="1:37" x14ac:dyDescent="0.25">
      <c r="B90" s="64" t="s">
        <v>425</v>
      </c>
      <c r="C90" t="s">
        <v>807</v>
      </c>
    </row>
    <row r="91" spans="1:37" x14ac:dyDescent="0.25">
      <c r="B91" s="64" t="s">
        <v>333</v>
      </c>
      <c r="C91" t="s">
        <v>807</v>
      </c>
    </row>
    <row r="92" spans="1:37" s="99" customFormat="1" ht="15.75" thickBot="1" x14ac:dyDescent="0.3">
      <c r="B92" s="100" t="s">
        <v>334</v>
      </c>
      <c r="C92" s="99" t="s">
        <v>807</v>
      </c>
    </row>
    <row r="93" spans="1:37" s="103" customFormat="1" ht="15.75" thickTop="1" x14ac:dyDescent="0.25">
      <c r="B93" s="104" t="s">
        <v>34</v>
      </c>
      <c r="C93" s="105"/>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c r="AF93" s="106"/>
      <c r="AG93" s="106"/>
      <c r="AH93" s="106"/>
      <c r="AI93" s="106"/>
      <c r="AJ93" s="106"/>
      <c r="AK93" s="106"/>
    </row>
    <row r="94" spans="1:37" s="93" customFormat="1" x14ac:dyDescent="0.25">
      <c r="B94" s="94"/>
      <c r="C94" s="95"/>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row>
    <row r="95" spans="1:37" s="80" customFormat="1" ht="17.25" x14ac:dyDescent="0.3">
      <c r="A95" s="80" t="s">
        <v>400</v>
      </c>
    </row>
    <row r="96" spans="1:37" x14ac:dyDescent="0.25">
      <c r="B96" s="64" t="s">
        <v>33</v>
      </c>
      <c r="C96" t="s">
        <v>808</v>
      </c>
    </row>
    <row r="97" spans="1:37" x14ac:dyDescent="0.25">
      <c r="B97" s="64" t="s">
        <v>626</v>
      </c>
      <c r="C97" t="s">
        <v>820</v>
      </c>
    </row>
    <row r="98" spans="1:37" x14ac:dyDescent="0.25">
      <c r="B98" s="64" t="s">
        <v>420</v>
      </c>
      <c r="C98" t="s">
        <v>819</v>
      </c>
    </row>
    <row r="99" spans="1:37" x14ac:dyDescent="0.25">
      <c r="B99" s="64" t="s">
        <v>429</v>
      </c>
      <c r="C99" t="s">
        <v>807</v>
      </c>
    </row>
    <row r="100" spans="1:37" x14ac:dyDescent="0.25">
      <c r="B100" s="64" t="s">
        <v>421</v>
      </c>
      <c r="C100" t="s">
        <v>807</v>
      </c>
    </row>
    <row r="101" spans="1:37" x14ac:dyDescent="0.25">
      <c r="B101" s="64" t="s">
        <v>425</v>
      </c>
      <c r="C101" t="s">
        <v>807</v>
      </c>
    </row>
    <row r="102" spans="1:37" x14ac:dyDescent="0.25">
      <c r="B102" s="64" t="s">
        <v>333</v>
      </c>
      <c r="C102" t="s">
        <v>807</v>
      </c>
    </row>
    <row r="103" spans="1:37" s="99" customFormat="1" ht="15.75" thickBot="1" x14ac:dyDescent="0.3">
      <c r="B103" s="100" t="s">
        <v>334</v>
      </c>
      <c r="C103" s="99" t="s">
        <v>807</v>
      </c>
    </row>
    <row r="104" spans="1:37" s="103" customFormat="1" ht="15.75" thickTop="1" x14ac:dyDescent="0.25">
      <c r="B104" s="104" t="s">
        <v>34</v>
      </c>
      <c r="C104" s="105"/>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row>
    <row r="105" spans="1:37" s="93" customFormat="1" x14ac:dyDescent="0.25">
      <c r="B105" s="94"/>
      <c r="C105" s="95"/>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96"/>
    </row>
    <row r="106" spans="1:37" s="80" customFormat="1" ht="17.25" x14ac:dyDescent="0.3">
      <c r="A106" s="80" t="s">
        <v>401</v>
      </c>
    </row>
    <row r="107" spans="1:37" s="246" customFormat="1" ht="17.25" x14ac:dyDescent="0.3">
      <c r="B107" s="64" t="s">
        <v>33</v>
      </c>
      <c r="C107" t="s">
        <v>454</v>
      </c>
    </row>
    <row r="108" spans="1:37" s="246" customFormat="1" ht="17.25" x14ac:dyDescent="0.3">
      <c r="B108" s="64" t="s">
        <v>626</v>
      </c>
      <c r="C108" s="223" t="s">
        <v>1281</v>
      </c>
    </row>
    <row r="109" spans="1:37" x14ac:dyDescent="0.25">
      <c r="B109" s="64" t="s">
        <v>420</v>
      </c>
      <c r="C109" t="s">
        <v>1282</v>
      </c>
    </row>
    <row r="110" spans="1:37" x14ac:dyDescent="0.25">
      <c r="B110" s="64" t="s">
        <v>429</v>
      </c>
      <c r="C110" s="195" t="s">
        <v>1238</v>
      </c>
    </row>
    <row r="111" spans="1:37" x14ac:dyDescent="0.25">
      <c r="B111" s="64"/>
      <c r="C111" s="195" t="s">
        <v>669</v>
      </c>
    </row>
    <row r="112" spans="1:37" s="223" customFormat="1" x14ac:dyDescent="0.25">
      <c r="B112" s="64"/>
      <c r="C112" s="195" t="s">
        <v>1239</v>
      </c>
    </row>
    <row r="113" spans="2:37" x14ac:dyDescent="0.25">
      <c r="B113" s="64"/>
      <c r="C113" s="195" t="s">
        <v>21</v>
      </c>
    </row>
    <row r="114" spans="2:37" x14ac:dyDescent="0.25">
      <c r="B114" s="64" t="s">
        <v>421</v>
      </c>
      <c r="C114" t="s">
        <v>1562</v>
      </c>
    </row>
    <row r="115" spans="2:37" x14ac:dyDescent="0.25">
      <c r="B115" s="64" t="s">
        <v>425</v>
      </c>
      <c r="C115" t="s">
        <v>1240</v>
      </c>
    </row>
    <row r="116" spans="2:37" s="223" customFormat="1" x14ac:dyDescent="0.25">
      <c r="B116" s="64"/>
      <c r="C116" s="223" t="s">
        <v>1280</v>
      </c>
    </row>
    <row r="117" spans="2:37" x14ac:dyDescent="0.25">
      <c r="B117" s="64"/>
      <c r="C117" t="s">
        <v>455</v>
      </c>
    </row>
    <row r="118" spans="2:37" x14ac:dyDescent="0.25">
      <c r="B118" s="64" t="s">
        <v>333</v>
      </c>
      <c r="C118" t="s">
        <v>1563</v>
      </c>
    </row>
    <row r="119" spans="2:37" x14ac:dyDescent="0.25">
      <c r="B119" s="64"/>
      <c r="C119" t="s">
        <v>458</v>
      </c>
    </row>
    <row r="120" spans="2:37" s="223" customFormat="1" x14ac:dyDescent="0.25">
      <c r="B120" s="64"/>
      <c r="C120" s="223" t="s">
        <v>1564</v>
      </c>
    </row>
    <row r="121" spans="2:37" s="223" customFormat="1" x14ac:dyDescent="0.25">
      <c r="B121" s="64"/>
      <c r="C121" s="223" t="s">
        <v>1299</v>
      </c>
    </row>
    <row r="122" spans="2:37" s="99" customFormat="1" ht="15.75" thickBot="1" x14ac:dyDescent="0.3">
      <c r="B122" s="100" t="s">
        <v>334</v>
      </c>
      <c r="C122" s="99" t="s">
        <v>457</v>
      </c>
    </row>
    <row r="123" spans="2:37" s="9" customFormat="1" ht="15.75" thickTop="1" x14ac:dyDescent="0.25">
      <c r="B123" s="66"/>
      <c r="C123" s="51"/>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row>
    <row r="124" spans="2:37" s="9" customFormat="1" x14ac:dyDescent="0.25">
      <c r="B124" s="66"/>
      <c r="C124" s="51"/>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row>
    <row r="125" spans="2:37" s="9" customFormat="1" x14ac:dyDescent="0.25">
      <c r="B125" s="66"/>
      <c r="C125" s="51"/>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c r="AG125" s="85"/>
      <c r="AH125" s="85"/>
      <c r="AI125" s="85"/>
      <c r="AJ125" s="85"/>
      <c r="AK125" s="85"/>
    </row>
    <row r="126" spans="2:37" s="9" customFormat="1" x14ac:dyDescent="0.25">
      <c r="B126" s="66"/>
      <c r="C126" s="51"/>
      <c r="I126" s="85"/>
      <c r="J126" s="85"/>
      <c r="K126" s="85"/>
      <c r="L126" s="85"/>
      <c r="M126" s="85"/>
      <c r="N126" s="85"/>
      <c r="O126" s="85"/>
      <c r="P126" s="85"/>
      <c r="Q126" s="85"/>
      <c r="R126" s="85"/>
      <c r="S126" s="85"/>
      <c r="T126" s="85"/>
      <c r="U126" s="85"/>
      <c r="V126" s="85"/>
      <c r="W126" s="85"/>
      <c r="X126" s="85"/>
      <c r="Y126" s="85"/>
      <c r="Z126" s="85"/>
      <c r="AA126" s="85"/>
      <c r="AB126" s="85"/>
      <c r="AC126" s="85"/>
      <c r="AD126" s="85"/>
      <c r="AE126" s="85"/>
      <c r="AF126" s="85"/>
      <c r="AG126" s="85"/>
      <c r="AH126" s="85"/>
      <c r="AI126" s="85"/>
      <c r="AJ126" s="85"/>
      <c r="AK126" s="85"/>
    </row>
    <row r="127" spans="2:37" s="9" customFormat="1" x14ac:dyDescent="0.25">
      <c r="B127" s="66"/>
      <c r="C127" s="51"/>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c r="AG127" s="85"/>
      <c r="AH127" s="85"/>
      <c r="AI127" s="85"/>
      <c r="AJ127" s="85"/>
      <c r="AK127" s="85"/>
    </row>
    <row r="128" spans="2:37" s="9" customFormat="1" x14ac:dyDescent="0.25">
      <c r="B128" s="66"/>
      <c r="C128" s="51"/>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c r="AG128" s="85"/>
      <c r="AH128" s="85"/>
      <c r="AI128" s="85"/>
      <c r="AJ128" s="85"/>
      <c r="AK128" s="85"/>
    </row>
    <row r="129" spans="2:37" s="9" customFormat="1" x14ac:dyDescent="0.25">
      <c r="B129" s="66"/>
      <c r="C129" s="51"/>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c r="AG129" s="85"/>
      <c r="AH129" s="85"/>
      <c r="AI129" s="85"/>
      <c r="AJ129" s="85"/>
      <c r="AK129" s="85"/>
    </row>
    <row r="130" spans="2:37" s="9" customFormat="1" x14ac:dyDescent="0.25">
      <c r="B130" s="66"/>
      <c r="C130" s="51"/>
      <c r="I130" s="85"/>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c r="AG130" s="85"/>
      <c r="AH130" s="85"/>
      <c r="AI130" s="85"/>
      <c r="AJ130" s="85"/>
      <c r="AK130" s="85"/>
    </row>
    <row r="131" spans="2:37" s="9" customFormat="1" x14ac:dyDescent="0.25">
      <c r="B131" s="66"/>
      <c r="C131" s="51"/>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c r="AG131" s="85"/>
      <c r="AH131" s="85"/>
      <c r="AI131" s="85"/>
      <c r="AJ131" s="85"/>
      <c r="AK131" s="85"/>
    </row>
    <row r="132" spans="2:37" s="9" customFormat="1" x14ac:dyDescent="0.25">
      <c r="B132" s="66"/>
      <c r="C132" s="51"/>
      <c r="I132" s="85"/>
      <c r="J132" s="85"/>
      <c r="K132" s="85"/>
      <c r="L132" s="85"/>
      <c r="M132" s="85"/>
      <c r="N132" s="85"/>
      <c r="O132" s="85"/>
      <c r="P132" s="85"/>
      <c r="Q132" s="85"/>
      <c r="R132" s="85"/>
      <c r="S132" s="85"/>
      <c r="T132" s="85"/>
      <c r="U132" s="85"/>
      <c r="V132" s="85"/>
      <c r="W132" s="85"/>
      <c r="X132" s="85"/>
      <c r="Y132" s="85"/>
      <c r="Z132" s="85"/>
      <c r="AA132" s="85"/>
      <c r="AB132" s="85"/>
      <c r="AC132" s="85"/>
      <c r="AD132" s="85"/>
      <c r="AE132" s="85"/>
      <c r="AF132" s="85"/>
      <c r="AG132" s="85"/>
      <c r="AH132" s="85"/>
      <c r="AI132" s="85"/>
      <c r="AJ132" s="85"/>
      <c r="AK132" s="85"/>
    </row>
    <row r="133" spans="2:37" s="9" customFormat="1" x14ac:dyDescent="0.25">
      <c r="B133" s="66"/>
      <c r="C133" s="51"/>
      <c r="I133" s="85"/>
      <c r="J133" s="85"/>
      <c r="K133" s="85"/>
      <c r="L133" s="85"/>
      <c r="M133" s="85"/>
      <c r="N133" s="85"/>
      <c r="O133" s="85"/>
      <c r="P133" s="85"/>
      <c r="Q133" s="85"/>
      <c r="R133" s="85"/>
      <c r="S133" s="85"/>
      <c r="T133" s="85"/>
      <c r="U133" s="85"/>
      <c r="V133" s="85"/>
      <c r="W133" s="85"/>
      <c r="X133" s="85"/>
      <c r="Y133" s="85"/>
      <c r="Z133" s="85"/>
      <c r="AA133" s="85"/>
      <c r="AB133" s="85"/>
      <c r="AC133" s="85"/>
      <c r="AD133" s="85"/>
      <c r="AE133" s="85"/>
      <c r="AF133" s="85"/>
      <c r="AG133" s="85"/>
      <c r="AH133" s="85"/>
      <c r="AI133" s="85"/>
      <c r="AJ133" s="85"/>
      <c r="AK133" s="85"/>
    </row>
    <row r="134" spans="2:37" s="9" customFormat="1" x14ac:dyDescent="0.25">
      <c r="B134" s="66"/>
      <c r="C134" s="51"/>
      <c r="I134" s="85"/>
      <c r="J134" s="85"/>
      <c r="K134" s="85"/>
      <c r="L134" s="85"/>
      <c r="M134" s="85"/>
      <c r="N134" s="85"/>
      <c r="O134" s="85"/>
      <c r="P134" s="85"/>
      <c r="Q134" s="85"/>
      <c r="R134" s="85"/>
      <c r="S134" s="85"/>
      <c r="T134" s="85"/>
      <c r="U134" s="85"/>
      <c r="V134" s="85"/>
      <c r="W134" s="85"/>
      <c r="X134" s="85"/>
      <c r="Y134" s="85"/>
      <c r="Z134" s="85"/>
      <c r="AA134" s="85"/>
      <c r="AB134" s="85"/>
      <c r="AC134" s="85"/>
      <c r="AD134" s="85"/>
      <c r="AE134" s="85"/>
      <c r="AF134" s="85"/>
      <c r="AG134" s="85"/>
      <c r="AH134" s="85"/>
      <c r="AI134" s="85"/>
      <c r="AJ134" s="85"/>
      <c r="AK134" s="85"/>
    </row>
    <row r="135" spans="2:37" s="9" customFormat="1" x14ac:dyDescent="0.25">
      <c r="B135" s="66"/>
      <c r="C135" s="51"/>
      <c r="I135" s="85"/>
      <c r="J135" s="85"/>
      <c r="K135" s="85"/>
      <c r="L135" s="85"/>
      <c r="M135" s="85"/>
      <c r="N135" s="85"/>
      <c r="O135" s="85"/>
      <c r="P135" s="85"/>
      <c r="Q135" s="85"/>
      <c r="R135" s="85"/>
      <c r="S135" s="85"/>
      <c r="T135" s="85"/>
      <c r="U135" s="85"/>
      <c r="V135" s="85"/>
      <c r="W135" s="85"/>
      <c r="X135" s="85"/>
      <c r="Y135" s="85"/>
      <c r="Z135" s="85"/>
      <c r="AA135" s="85"/>
      <c r="AB135" s="85"/>
      <c r="AC135" s="85"/>
      <c r="AD135" s="85"/>
      <c r="AE135" s="85"/>
      <c r="AF135" s="85"/>
      <c r="AG135" s="85"/>
      <c r="AH135" s="85"/>
      <c r="AI135" s="85"/>
      <c r="AJ135" s="85"/>
      <c r="AK135" s="85"/>
    </row>
    <row r="136" spans="2:37" s="9" customFormat="1" x14ac:dyDescent="0.25">
      <c r="B136" s="66"/>
      <c r="C136" s="51"/>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row>
    <row r="137" spans="2:37" s="9" customFormat="1" x14ac:dyDescent="0.25">
      <c r="B137" s="66"/>
      <c r="C137" s="51"/>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c r="AG137" s="85"/>
      <c r="AH137" s="85"/>
      <c r="AI137" s="85"/>
      <c r="AJ137" s="85"/>
      <c r="AK137" s="85"/>
    </row>
    <row r="138" spans="2:37" s="103" customFormat="1" ht="18" x14ac:dyDescent="0.35">
      <c r="B138" s="104" t="s">
        <v>34</v>
      </c>
      <c r="C138" s="105" t="s">
        <v>438</v>
      </c>
      <c r="H138" s="103" t="s">
        <v>1565</v>
      </c>
      <c r="I138" s="106"/>
      <c r="J138" s="106"/>
      <c r="K138" s="106"/>
      <c r="L138" s="106"/>
      <c r="M138" s="106"/>
      <c r="N138" s="106"/>
      <c r="O138" s="106">
        <f>O139*O141</f>
        <v>21896</v>
      </c>
      <c r="P138" s="106">
        <f t="shared" ref="P138:AK138" si="5">P139*P141</f>
        <v>20760.282625047468</v>
      </c>
      <c r="Q138" s="106">
        <f t="shared" si="5"/>
        <v>19794.390979550608</v>
      </c>
      <c r="R138" s="106">
        <f t="shared" si="5"/>
        <v>18916.609184568282</v>
      </c>
      <c r="S138" s="106">
        <f t="shared" si="5"/>
        <v>17193.305511061051</v>
      </c>
      <c r="T138" s="106">
        <f t="shared" si="5"/>
        <v>17414.077820857867</v>
      </c>
      <c r="U138" s="106">
        <f t="shared" si="5"/>
        <v>15617.019915185258</v>
      </c>
      <c r="V138" s="106">
        <f t="shared" si="5"/>
        <v>13994.371106411823</v>
      </c>
      <c r="W138" s="106">
        <f t="shared" si="5"/>
        <v>13629.57784419016</v>
      </c>
      <c r="X138" s="106">
        <f t="shared" si="5"/>
        <v>12992.835756729986</v>
      </c>
      <c r="Y138" s="106">
        <f t="shared" si="5"/>
        <v>10673</v>
      </c>
      <c r="Z138" s="106">
        <f t="shared" si="5"/>
        <v>8893.7033944564482</v>
      </c>
      <c r="AA138" s="106">
        <f t="shared" si="5"/>
        <v>7940.978608724372</v>
      </c>
      <c r="AB138" s="106">
        <f t="shared" si="5"/>
        <v>0</v>
      </c>
      <c r="AC138" s="106">
        <f t="shared" si="5"/>
        <v>0</v>
      </c>
      <c r="AD138" s="106">
        <f t="shared" si="5"/>
        <v>0</v>
      </c>
      <c r="AE138" s="106">
        <f t="shared" si="5"/>
        <v>0</v>
      </c>
      <c r="AF138" s="106">
        <f t="shared" si="5"/>
        <v>0</v>
      </c>
      <c r="AG138" s="106">
        <f t="shared" si="5"/>
        <v>0</v>
      </c>
      <c r="AH138" s="106">
        <f t="shared" si="5"/>
        <v>0</v>
      </c>
      <c r="AI138" s="106">
        <f t="shared" si="5"/>
        <v>0</v>
      </c>
      <c r="AJ138" s="106">
        <f t="shared" si="5"/>
        <v>0</v>
      </c>
      <c r="AK138" s="106">
        <f t="shared" si="5"/>
        <v>0</v>
      </c>
    </row>
    <row r="139" spans="2:37" s="97" customFormat="1" x14ac:dyDescent="0.25">
      <c r="D139" s="97" t="s">
        <v>19</v>
      </c>
      <c r="H139" s="97" t="s">
        <v>1288</v>
      </c>
      <c r="N139" s="97">
        <f>Datasheet!N1179</f>
        <v>462793490</v>
      </c>
      <c r="O139" s="97">
        <f>Datasheet!O1179</f>
        <v>490743341</v>
      </c>
      <c r="P139" s="97">
        <f>Datasheet!P1179</f>
        <v>488732400</v>
      </c>
      <c r="Q139" s="97">
        <f>Datasheet!Q1179</f>
        <v>490718178</v>
      </c>
      <c r="R139" s="97">
        <f>Datasheet!R1179</f>
        <v>495233183</v>
      </c>
      <c r="S139" s="97">
        <f>Datasheet!S1179</f>
        <v>476834690</v>
      </c>
      <c r="T139" s="97">
        <f>Datasheet!T1179</f>
        <v>513432968</v>
      </c>
      <c r="U139" s="97">
        <f>Datasheet!U1179</f>
        <v>491460908</v>
      </c>
      <c r="V139" s="97">
        <f>Datasheet!V1179</f>
        <v>472200340</v>
      </c>
      <c r="W139" s="97">
        <f>Datasheet!W1179</f>
        <v>495687784</v>
      </c>
      <c r="X139" s="97">
        <f>Datasheet!X1179</f>
        <v>512415019</v>
      </c>
      <c r="Y139" s="97">
        <f>Datasheet!Y1179</f>
        <v>459728772</v>
      </c>
      <c r="Z139" s="97">
        <f>Datasheet!Z1179</f>
        <v>421989597</v>
      </c>
      <c r="AA139" s="97">
        <f>Datasheet!AA1179</f>
        <v>419371453</v>
      </c>
      <c r="AB139" s="97">
        <f>Datasheet!AB1179</f>
        <v>0</v>
      </c>
      <c r="AC139" s="97">
        <f>Datasheet!AC1179</f>
        <v>0</v>
      </c>
      <c r="AD139" s="97">
        <f>Datasheet!AD1179</f>
        <v>0</v>
      </c>
      <c r="AE139" s="97">
        <f>Datasheet!AE1179</f>
        <v>0</v>
      </c>
      <c r="AF139" s="97">
        <f>Datasheet!AF1179</f>
        <v>0</v>
      </c>
      <c r="AG139" s="97">
        <f>Datasheet!AG1179</f>
        <v>0</v>
      </c>
      <c r="AH139" s="97">
        <f>Datasheet!AH1179</f>
        <v>0</v>
      </c>
      <c r="AI139" s="97">
        <f>Datasheet!AI1179</f>
        <v>0</v>
      </c>
      <c r="AJ139" s="97">
        <f>Datasheet!AJ1179</f>
        <v>0</v>
      </c>
      <c r="AK139" s="97">
        <f>Datasheet!AK1179</f>
        <v>0</v>
      </c>
    </row>
    <row r="140" spans="2:37" s="97" customFormat="1" x14ac:dyDescent="0.25">
      <c r="C140" s="203"/>
      <c r="D140" s="97" t="s">
        <v>436</v>
      </c>
      <c r="H140" s="97" t="s">
        <v>1291</v>
      </c>
      <c r="O140" s="97">
        <v>21896</v>
      </c>
      <c r="Y140" s="97">
        <v>10673</v>
      </c>
    </row>
    <row r="141" spans="2:37" s="102" customFormat="1" x14ac:dyDescent="0.25">
      <c r="B141" s="116"/>
      <c r="C141" s="117"/>
      <c r="E141" s="102" t="s">
        <v>433</v>
      </c>
      <c r="H141" s="102" t="s">
        <v>1292</v>
      </c>
      <c r="I141" s="101"/>
      <c r="J141" s="101"/>
      <c r="K141" s="101"/>
      <c r="L141" s="101"/>
      <c r="M141" s="101"/>
      <c r="N141" s="101"/>
      <c r="O141" s="101">
        <f>O140/O139</f>
        <v>4.4618027736009567E-5</v>
      </c>
      <c r="P141" s="101">
        <f>O141+O142</f>
        <v>4.2477811221534459E-5</v>
      </c>
      <c r="Q141" s="101">
        <f t="shared" ref="Q141:AK141" si="6">P141+P142</f>
        <v>4.0337594707059352E-5</v>
      </c>
      <c r="R141" s="101">
        <f t="shared" si="6"/>
        <v>3.8197378192584244E-5</v>
      </c>
      <c r="S141" s="101">
        <f t="shared" si="6"/>
        <v>3.6057161678109137E-5</v>
      </c>
      <c r="T141" s="101">
        <f t="shared" si="6"/>
        <v>3.391694516363403E-5</v>
      </c>
      <c r="U141" s="101">
        <f t="shared" si="6"/>
        <v>3.1776728649158922E-5</v>
      </c>
      <c r="V141" s="101">
        <f t="shared" si="6"/>
        <v>2.9636512134683815E-5</v>
      </c>
      <c r="W141" s="101">
        <f t="shared" si="6"/>
        <v>2.7496295620208707E-5</v>
      </c>
      <c r="X141" s="101">
        <f t="shared" si="6"/>
        <v>2.53560791057336E-5</v>
      </c>
      <c r="Y141" s="101">
        <f>Y140/Y139</f>
        <v>2.3215862591258483E-5</v>
      </c>
      <c r="Z141" s="101">
        <f t="shared" si="6"/>
        <v>2.1075646076783375E-5</v>
      </c>
      <c r="AA141" s="101">
        <f t="shared" si="6"/>
        <v>1.8935429562308268E-5</v>
      </c>
      <c r="AB141" s="101">
        <f t="shared" si="6"/>
        <v>1.679521304783316E-5</v>
      </c>
      <c r="AC141" s="101">
        <f t="shared" si="6"/>
        <v>1.4654996533358053E-5</v>
      </c>
      <c r="AD141" s="101">
        <f t="shared" si="6"/>
        <v>1.2514780018882946E-5</v>
      </c>
      <c r="AE141" s="101">
        <f t="shared" si="6"/>
        <v>1.0374563504407838E-5</v>
      </c>
      <c r="AF141" s="101">
        <f t="shared" si="6"/>
        <v>8.2343469899327308E-6</v>
      </c>
      <c r="AG141" s="101">
        <f t="shared" si="6"/>
        <v>6.0941304754576226E-6</v>
      </c>
      <c r="AH141" s="101">
        <f t="shared" si="6"/>
        <v>3.9539139609825144E-6</v>
      </c>
      <c r="AI141" s="101">
        <f t="shared" si="6"/>
        <v>1.8136974465074061E-6</v>
      </c>
      <c r="AJ141" s="101">
        <f t="shared" si="6"/>
        <v>-3.265190679677021E-7</v>
      </c>
      <c r="AK141" s="101">
        <f t="shared" si="6"/>
        <v>-2.4667355824428103E-6</v>
      </c>
    </row>
    <row r="142" spans="2:37" s="231" customFormat="1" x14ac:dyDescent="0.25">
      <c r="B142" s="229"/>
      <c r="C142" s="230"/>
      <c r="E142" s="231" t="s">
        <v>434</v>
      </c>
      <c r="H142" s="231" t="s">
        <v>1292</v>
      </c>
      <c r="I142" s="232"/>
      <c r="J142" s="232"/>
      <c r="K142" s="232"/>
      <c r="L142" s="232"/>
      <c r="M142" s="232"/>
      <c r="N142" s="232"/>
      <c r="O142" s="232">
        <f>($Y141-$O141)/($Y$2-$O$2)</f>
        <v>-2.1402165144751082E-6</v>
      </c>
      <c r="P142" s="232">
        <f t="shared" ref="P142:AK142" si="7">($Y141-$O141)/($Y$2-$O$2)</f>
        <v>-2.1402165144751082E-6</v>
      </c>
      <c r="Q142" s="232">
        <f t="shared" si="7"/>
        <v>-2.1402165144751082E-6</v>
      </c>
      <c r="R142" s="232">
        <f t="shared" si="7"/>
        <v>-2.1402165144751082E-6</v>
      </c>
      <c r="S142" s="232">
        <f t="shared" si="7"/>
        <v>-2.1402165144751082E-6</v>
      </c>
      <c r="T142" s="232">
        <f t="shared" si="7"/>
        <v>-2.1402165144751082E-6</v>
      </c>
      <c r="U142" s="232">
        <f t="shared" si="7"/>
        <v>-2.1402165144751082E-6</v>
      </c>
      <c r="V142" s="232">
        <f t="shared" si="7"/>
        <v>-2.1402165144751082E-6</v>
      </c>
      <c r="W142" s="232">
        <f t="shared" si="7"/>
        <v>-2.1402165144751082E-6</v>
      </c>
      <c r="X142" s="232">
        <f t="shared" si="7"/>
        <v>-2.1402165144751082E-6</v>
      </c>
      <c r="Y142" s="232">
        <f t="shared" si="7"/>
        <v>-2.1402165144751082E-6</v>
      </c>
      <c r="Z142" s="232">
        <f t="shared" si="7"/>
        <v>-2.1402165144751082E-6</v>
      </c>
      <c r="AA142" s="232">
        <f t="shared" si="7"/>
        <v>-2.1402165144751082E-6</v>
      </c>
      <c r="AB142" s="232">
        <f t="shared" si="7"/>
        <v>-2.1402165144751082E-6</v>
      </c>
      <c r="AC142" s="232">
        <f t="shared" si="7"/>
        <v>-2.1402165144751082E-6</v>
      </c>
      <c r="AD142" s="232">
        <f t="shared" si="7"/>
        <v>-2.1402165144751082E-6</v>
      </c>
      <c r="AE142" s="232">
        <f t="shared" si="7"/>
        <v>-2.1402165144751082E-6</v>
      </c>
      <c r="AF142" s="232">
        <f t="shared" si="7"/>
        <v>-2.1402165144751082E-6</v>
      </c>
      <c r="AG142" s="232">
        <f t="shared" si="7"/>
        <v>-2.1402165144751082E-6</v>
      </c>
      <c r="AH142" s="232">
        <f t="shared" si="7"/>
        <v>-2.1402165144751082E-6</v>
      </c>
      <c r="AI142" s="232">
        <f t="shared" si="7"/>
        <v>-2.1402165144751082E-6</v>
      </c>
      <c r="AJ142" s="232">
        <f t="shared" si="7"/>
        <v>-2.1402165144751082E-6</v>
      </c>
      <c r="AK142" s="232">
        <f t="shared" si="7"/>
        <v>-2.1402165144751082E-6</v>
      </c>
    </row>
    <row r="143" spans="2:37" s="103" customFormat="1" x14ac:dyDescent="0.25">
      <c r="B143" s="104"/>
      <c r="C143" s="105" t="s">
        <v>439</v>
      </c>
      <c r="H143" s="103" t="s">
        <v>1291</v>
      </c>
      <c r="I143" s="106"/>
      <c r="J143" s="106"/>
      <c r="K143" s="106"/>
      <c r="L143" s="106"/>
      <c r="M143" s="106"/>
      <c r="N143" s="106"/>
      <c r="O143" s="106">
        <f t="shared" ref="O143:AK143" si="8">O144*O146</f>
        <v>48463.999999999993</v>
      </c>
      <c r="P143" s="106">
        <f t="shared" si="8"/>
        <v>47075.785941348804</v>
      </c>
      <c r="Q143" s="106">
        <f t="shared" si="8"/>
        <v>51029.41814646266</v>
      </c>
      <c r="R143" s="106">
        <f t="shared" si="8"/>
        <v>48836.233295003069</v>
      </c>
      <c r="S143" s="106">
        <f t="shared" si="8"/>
        <v>46189.353904531679</v>
      </c>
      <c r="T143" s="106">
        <f t="shared" si="8"/>
        <v>50494.679689349767</v>
      </c>
      <c r="U143" s="106">
        <f t="shared" si="8"/>
        <v>50715.343057129845</v>
      </c>
      <c r="V143" s="106">
        <f t="shared" si="8"/>
        <v>60361.616886203403</v>
      </c>
      <c r="W143" s="106">
        <f t="shared" si="8"/>
        <v>66497.488170975106</v>
      </c>
      <c r="X143" s="106">
        <f t="shared" si="8"/>
        <v>70299.215655304419</v>
      </c>
      <c r="Y143" s="106">
        <f t="shared" si="8"/>
        <v>71115</v>
      </c>
      <c r="Z143" s="106">
        <f t="shared" si="8"/>
        <v>76051.501300657037</v>
      </c>
      <c r="AA143" s="106">
        <f t="shared" si="8"/>
        <v>72622.931891997199</v>
      </c>
      <c r="AB143" s="106">
        <f t="shared" si="8"/>
        <v>0</v>
      </c>
      <c r="AC143" s="106">
        <f t="shared" si="8"/>
        <v>0</v>
      </c>
      <c r="AD143" s="106">
        <f t="shared" si="8"/>
        <v>0</v>
      </c>
      <c r="AE143" s="106">
        <f t="shared" si="8"/>
        <v>0</v>
      </c>
      <c r="AF143" s="106">
        <f t="shared" si="8"/>
        <v>0</v>
      </c>
      <c r="AG143" s="106">
        <f t="shared" si="8"/>
        <v>0</v>
      </c>
      <c r="AH143" s="106">
        <f t="shared" si="8"/>
        <v>0</v>
      </c>
      <c r="AI143" s="106">
        <f t="shared" si="8"/>
        <v>0</v>
      </c>
      <c r="AJ143" s="106">
        <f t="shared" si="8"/>
        <v>0</v>
      </c>
      <c r="AK143" s="106">
        <f t="shared" si="8"/>
        <v>0</v>
      </c>
    </row>
    <row r="144" spans="2:37" s="97" customFormat="1" x14ac:dyDescent="0.25">
      <c r="D144" s="97" t="s">
        <v>20</v>
      </c>
      <c r="H144" s="97" t="s">
        <v>1293</v>
      </c>
      <c r="N144" s="97">
        <f>Datasheet!N1206</f>
        <v>4169576</v>
      </c>
      <c r="O144" s="97">
        <f>Datasheet!O1206</f>
        <v>4687337</v>
      </c>
      <c r="P144" s="97">
        <f>Datasheet!P1206</f>
        <v>4605026</v>
      </c>
      <c r="Q144" s="97">
        <f>Datasheet!Q1206</f>
        <v>5049394</v>
      </c>
      <c r="R144" s="97">
        <f>Datasheet!R1206</f>
        <v>4888806</v>
      </c>
      <c r="S144" s="97">
        <f>Datasheet!S1206</f>
        <v>4678469</v>
      </c>
      <c r="T144" s="97">
        <f>Datasheet!T1206</f>
        <v>5175703</v>
      </c>
      <c r="U144" s="97">
        <f>Datasheet!U1206</f>
        <v>5261227</v>
      </c>
      <c r="V144" s="97">
        <f>Datasheet!V1206</f>
        <v>6338640</v>
      </c>
      <c r="W144" s="97">
        <f>Datasheet!W1206</f>
        <v>7069573</v>
      </c>
      <c r="X144" s="97">
        <f>Datasheet!X1206</f>
        <v>7567596</v>
      </c>
      <c r="Y144" s="97">
        <f>Datasheet!Y1206</f>
        <v>7752766</v>
      </c>
      <c r="Z144" s="97">
        <f>Datasheet!Z1206</f>
        <v>8397722</v>
      </c>
      <c r="AA144" s="97">
        <f>Datasheet!AA1206</f>
        <v>8123773</v>
      </c>
      <c r="AB144" s="97">
        <f>Datasheet!AB1206</f>
        <v>0</v>
      </c>
      <c r="AC144" s="97">
        <f>Datasheet!AC1206</f>
        <v>0</v>
      </c>
      <c r="AD144" s="97">
        <f>Datasheet!AD1206</f>
        <v>0</v>
      </c>
      <c r="AE144" s="97">
        <f>Datasheet!AE1206</f>
        <v>0</v>
      </c>
      <c r="AF144" s="97">
        <f>Datasheet!AF1206</f>
        <v>0</v>
      </c>
      <c r="AG144" s="97">
        <f>Datasheet!AG1206</f>
        <v>0</v>
      </c>
      <c r="AH144" s="97">
        <f>Datasheet!AH1206</f>
        <v>0</v>
      </c>
      <c r="AI144" s="97">
        <f>Datasheet!AI1206</f>
        <v>0</v>
      </c>
      <c r="AJ144" s="97">
        <f>Datasheet!AJ1206</f>
        <v>0</v>
      </c>
      <c r="AK144" s="97">
        <f>Datasheet!AK1206</f>
        <v>0</v>
      </c>
    </row>
    <row r="145" spans="2:37" s="97" customFormat="1" x14ac:dyDescent="0.25">
      <c r="D145" s="97" t="s">
        <v>444</v>
      </c>
      <c r="H145" s="97" t="s">
        <v>1291</v>
      </c>
      <c r="O145" s="97">
        <v>48464</v>
      </c>
      <c r="Y145" s="97">
        <v>71115</v>
      </c>
    </row>
    <row r="146" spans="2:37" s="102" customFormat="1" x14ac:dyDescent="0.25">
      <c r="B146" s="116"/>
      <c r="C146" s="117"/>
      <c r="E146" s="102" t="s">
        <v>433</v>
      </c>
      <c r="H146" s="102" t="s">
        <v>1294</v>
      </c>
      <c r="I146" s="101"/>
      <c r="J146" s="101"/>
      <c r="K146" s="101"/>
      <c r="L146" s="101"/>
      <c r="M146" s="101"/>
      <c r="N146" s="101"/>
      <c r="O146" s="101">
        <f>O145/O144</f>
        <v>1.0339346200198534E-2</v>
      </c>
      <c r="P146" s="101">
        <f>O146+O147</f>
        <v>1.0222697101243034E-2</v>
      </c>
      <c r="Q146" s="101">
        <f t="shared" ref="Q146:X146" si="9">P146+P147</f>
        <v>1.0106048002287534E-2</v>
      </c>
      <c r="R146" s="101">
        <f t="shared" si="9"/>
        <v>9.9893989033320342E-3</v>
      </c>
      <c r="S146" s="101">
        <f t="shared" si="9"/>
        <v>9.8727498043765342E-3</v>
      </c>
      <c r="T146" s="101">
        <f t="shared" si="9"/>
        <v>9.7561007054210343E-3</v>
      </c>
      <c r="U146" s="101">
        <f t="shared" si="9"/>
        <v>9.6394516064655343E-3</v>
      </c>
      <c r="V146" s="101">
        <f t="shared" si="9"/>
        <v>9.5228025075100343E-3</v>
      </c>
      <c r="W146" s="101">
        <f t="shared" si="9"/>
        <v>9.4061534085545344E-3</v>
      </c>
      <c r="X146" s="101">
        <f t="shared" si="9"/>
        <v>9.2895043095990344E-3</v>
      </c>
      <c r="Y146" s="101">
        <f>Y145/Y144</f>
        <v>9.172855210643531E-3</v>
      </c>
      <c r="Z146" s="101">
        <f t="shared" ref="Z146:AK146" si="10">Y146+Y147</f>
        <v>9.056206111688031E-3</v>
      </c>
      <c r="AA146" s="101">
        <f t="shared" si="10"/>
        <v>8.9395570127325311E-3</v>
      </c>
      <c r="AB146" s="101">
        <f t="shared" si="10"/>
        <v>8.8229079137770311E-3</v>
      </c>
      <c r="AC146" s="101">
        <f t="shared" si="10"/>
        <v>8.7062588148215311E-3</v>
      </c>
      <c r="AD146" s="101">
        <f t="shared" si="10"/>
        <v>8.5896097158660312E-3</v>
      </c>
      <c r="AE146" s="101">
        <f t="shared" si="10"/>
        <v>8.4729606169105312E-3</v>
      </c>
      <c r="AF146" s="101">
        <f t="shared" si="10"/>
        <v>8.3563115179550312E-3</v>
      </c>
      <c r="AG146" s="101">
        <f t="shared" si="10"/>
        <v>8.2396624189995313E-3</v>
      </c>
      <c r="AH146" s="101">
        <f t="shared" si="10"/>
        <v>8.1230133200440313E-3</v>
      </c>
      <c r="AI146" s="101">
        <f t="shared" si="10"/>
        <v>8.0063642210885314E-3</v>
      </c>
      <c r="AJ146" s="101">
        <f t="shared" si="10"/>
        <v>7.8897151221330314E-3</v>
      </c>
      <c r="AK146" s="101">
        <f t="shared" si="10"/>
        <v>7.7730660231775314E-3</v>
      </c>
    </row>
    <row r="147" spans="2:37" s="231" customFormat="1" x14ac:dyDescent="0.25">
      <c r="B147" s="229"/>
      <c r="C147" s="230"/>
      <c r="E147" s="231" t="s">
        <v>434</v>
      </c>
      <c r="H147" s="231" t="s">
        <v>1294</v>
      </c>
      <c r="I147" s="232"/>
      <c r="J147" s="232"/>
      <c r="K147" s="232"/>
      <c r="L147" s="232"/>
      <c r="M147" s="232"/>
      <c r="N147" s="232"/>
      <c r="O147" s="232">
        <f t="shared" ref="O147:AK147" si="11">($Y146-$O146)/($Y$2-$O$2)</f>
        <v>-1.1664909895550032E-4</v>
      </c>
      <c r="P147" s="232">
        <f t="shared" si="11"/>
        <v>-1.1664909895550032E-4</v>
      </c>
      <c r="Q147" s="232">
        <f t="shared" si="11"/>
        <v>-1.1664909895550032E-4</v>
      </c>
      <c r="R147" s="232">
        <f t="shared" si="11"/>
        <v>-1.1664909895550032E-4</v>
      </c>
      <c r="S147" s="232">
        <f t="shared" si="11"/>
        <v>-1.1664909895550032E-4</v>
      </c>
      <c r="T147" s="232">
        <f t="shared" si="11"/>
        <v>-1.1664909895550032E-4</v>
      </c>
      <c r="U147" s="232">
        <f t="shared" si="11"/>
        <v>-1.1664909895550032E-4</v>
      </c>
      <c r="V147" s="232">
        <f t="shared" si="11"/>
        <v>-1.1664909895550032E-4</v>
      </c>
      <c r="W147" s="232">
        <f t="shared" si="11"/>
        <v>-1.1664909895550032E-4</v>
      </c>
      <c r="X147" s="232">
        <f t="shared" si="11"/>
        <v>-1.1664909895550032E-4</v>
      </c>
      <c r="Y147" s="232">
        <f t="shared" si="11"/>
        <v>-1.1664909895550032E-4</v>
      </c>
      <c r="Z147" s="232">
        <f t="shared" si="11"/>
        <v>-1.1664909895550032E-4</v>
      </c>
      <c r="AA147" s="232">
        <f t="shared" si="11"/>
        <v>-1.1664909895550032E-4</v>
      </c>
      <c r="AB147" s="232">
        <f t="shared" si="11"/>
        <v>-1.1664909895550032E-4</v>
      </c>
      <c r="AC147" s="232">
        <f t="shared" si="11"/>
        <v>-1.1664909895550032E-4</v>
      </c>
      <c r="AD147" s="232">
        <f t="shared" si="11"/>
        <v>-1.1664909895550032E-4</v>
      </c>
      <c r="AE147" s="232">
        <f t="shared" si="11"/>
        <v>-1.1664909895550032E-4</v>
      </c>
      <c r="AF147" s="232">
        <f t="shared" si="11"/>
        <v>-1.1664909895550032E-4</v>
      </c>
      <c r="AG147" s="232">
        <f t="shared" si="11"/>
        <v>-1.1664909895550032E-4</v>
      </c>
      <c r="AH147" s="232">
        <f t="shared" si="11"/>
        <v>-1.1664909895550032E-4</v>
      </c>
      <c r="AI147" s="232">
        <f t="shared" si="11"/>
        <v>-1.1664909895550032E-4</v>
      </c>
      <c r="AJ147" s="232">
        <f t="shared" si="11"/>
        <v>-1.1664909895550032E-4</v>
      </c>
      <c r="AK147" s="232">
        <f t="shared" si="11"/>
        <v>-1.1664909895550032E-4</v>
      </c>
    </row>
    <row r="148" spans="2:37" s="103" customFormat="1" x14ac:dyDescent="0.25">
      <c r="B148" s="104"/>
      <c r="C148" s="105" t="s">
        <v>440</v>
      </c>
      <c r="H148" s="103" t="s">
        <v>1291</v>
      </c>
      <c r="I148" s="106"/>
      <c r="J148" s="106"/>
      <c r="K148" s="106"/>
      <c r="L148" s="106"/>
      <c r="M148" s="106"/>
      <c r="N148" s="106"/>
      <c r="O148" s="106">
        <f>O149*O151</f>
        <v>254638</v>
      </c>
      <c r="P148" s="106">
        <f>IF(P149&gt;0,P149*P151,P153*P151)</f>
        <v>277863.56755864667</v>
      </c>
      <c r="Q148" s="106">
        <f t="shared" ref="Q148:AK148" si="12">IF(Q149&gt;0,Q149*Q151,Q153*Q151)</f>
        <v>273415.75259788206</v>
      </c>
      <c r="R148" s="106">
        <f t="shared" si="12"/>
        <v>260349.9060783656</v>
      </c>
      <c r="S148" s="106">
        <f t="shared" si="12"/>
        <v>255426.18072038129</v>
      </c>
      <c r="T148" s="106">
        <f t="shared" si="12"/>
        <v>250978.77392450644</v>
      </c>
      <c r="U148" s="106">
        <f t="shared" si="12"/>
        <v>255373.56190166582</v>
      </c>
      <c r="V148" s="106">
        <f t="shared" si="12"/>
        <v>265635.05288536509</v>
      </c>
      <c r="W148" s="106">
        <f t="shared" si="12"/>
        <v>265677.6734354801</v>
      </c>
      <c r="X148" s="106">
        <f t="shared" si="12"/>
        <v>297402.34173040756</v>
      </c>
      <c r="Y148" s="106">
        <f t="shared" si="12"/>
        <v>308207</v>
      </c>
      <c r="Z148" s="106">
        <f t="shared" si="12"/>
        <v>299955.37210755498</v>
      </c>
      <c r="AA148" s="106">
        <f t="shared" si="12"/>
        <v>310948.45731134136</v>
      </c>
      <c r="AB148" s="106">
        <f t="shared" si="12"/>
        <v>169785.21960037336</v>
      </c>
      <c r="AC148" s="106">
        <f t="shared" si="12"/>
        <v>167897.00069497709</v>
      </c>
      <c r="AD148" s="106">
        <f t="shared" si="12"/>
        <v>166008.7817895808</v>
      </c>
      <c r="AE148" s="106">
        <f t="shared" si="12"/>
        <v>164120.56288418453</v>
      </c>
      <c r="AF148" s="106">
        <f t="shared" si="12"/>
        <v>162232.34397878827</v>
      </c>
      <c r="AG148" s="106">
        <f t="shared" si="12"/>
        <v>160344.125073392</v>
      </c>
      <c r="AH148" s="106">
        <f t="shared" si="12"/>
        <v>158455.90616799574</v>
      </c>
      <c r="AI148" s="106">
        <f t="shared" si="12"/>
        <v>156567.68726259944</v>
      </c>
      <c r="AJ148" s="106">
        <f t="shared" si="12"/>
        <v>154679.46835720318</v>
      </c>
      <c r="AK148" s="106">
        <f t="shared" si="12"/>
        <v>152791.24945180691</v>
      </c>
    </row>
    <row r="149" spans="2:37" s="97" customFormat="1" x14ac:dyDescent="0.25">
      <c r="C149" s="247"/>
      <c r="D149" s="97" t="s">
        <v>432</v>
      </c>
      <c r="H149" s="97" t="s">
        <v>1289</v>
      </c>
      <c r="O149" s="97">
        <f>Datasheet!O1010</f>
        <v>622769.62</v>
      </c>
      <c r="P149" s="97">
        <f>Datasheet!P1010</f>
        <v>686240.34799999988</v>
      </c>
      <c r="Q149" s="97">
        <f>Datasheet!Q1010</f>
        <v>681946.68699999992</v>
      </c>
      <c r="R149" s="97">
        <f>Datasheet!R1010</f>
        <v>655857.08033333276</v>
      </c>
      <c r="S149" s="97">
        <f>Datasheet!S1010</f>
        <v>649958.44799999974</v>
      </c>
      <c r="T149" s="97">
        <f>Datasheet!T1010</f>
        <v>645163.75499999966</v>
      </c>
      <c r="U149" s="97">
        <f>Datasheet!U1010</f>
        <v>663234.30866666639</v>
      </c>
      <c r="V149" s="97">
        <f>Datasheet!V1010</f>
        <v>697077</v>
      </c>
      <c r="W149" s="97">
        <f>Datasheet!W1010</f>
        <v>704534</v>
      </c>
      <c r="X149" s="97">
        <f>Datasheet!X1010</f>
        <v>797060</v>
      </c>
      <c r="Y149" s="97">
        <f>Datasheet!Y1010</f>
        <v>834907</v>
      </c>
      <c r="Z149" s="97">
        <f>Datasheet!Z1010</f>
        <v>821394</v>
      </c>
      <c r="AA149" s="97">
        <f>Datasheet!AA1010</f>
        <v>0</v>
      </c>
      <c r="AB149" s="97">
        <f>Datasheet!AB1010</f>
        <v>0</v>
      </c>
      <c r="AC149" s="97">
        <f>Datasheet!AC1010</f>
        <v>0</v>
      </c>
      <c r="AD149" s="97">
        <f>Datasheet!AD1010</f>
        <v>0</v>
      </c>
      <c r="AE149" s="97">
        <f>Datasheet!AE1010</f>
        <v>0</v>
      </c>
      <c r="AF149" s="97">
        <f>Datasheet!AF1010</f>
        <v>0</v>
      </c>
      <c r="AG149" s="97">
        <f>Datasheet!AG1010</f>
        <v>0</v>
      </c>
      <c r="AH149" s="97">
        <f>Datasheet!AH1010</f>
        <v>0</v>
      </c>
      <c r="AI149" s="97">
        <f>Datasheet!AI1010</f>
        <v>0</v>
      </c>
      <c r="AJ149" s="97">
        <f>Datasheet!AJ1010</f>
        <v>0</v>
      </c>
      <c r="AK149" s="97">
        <f>Datasheet!AK1010</f>
        <v>0</v>
      </c>
    </row>
    <row r="150" spans="2:37" s="97" customFormat="1" x14ac:dyDescent="0.25">
      <c r="C150" s="203"/>
      <c r="D150" s="97" t="s">
        <v>435</v>
      </c>
      <c r="H150" s="97" t="s">
        <v>1291</v>
      </c>
      <c r="O150" s="97">
        <v>254638</v>
      </c>
      <c r="Y150" s="97">
        <v>308207</v>
      </c>
    </row>
    <row r="151" spans="2:37" s="102" customFormat="1" x14ac:dyDescent="0.25">
      <c r="B151" s="116"/>
      <c r="C151" s="117"/>
      <c r="E151" s="102" t="s">
        <v>433</v>
      </c>
      <c r="H151" s="102" t="s">
        <v>1295</v>
      </c>
      <c r="I151" s="101"/>
      <c r="J151" s="101"/>
      <c r="K151" s="101"/>
      <c r="L151" s="101"/>
      <c r="M151" s="101"/>
      <c r="N151" s="101"/>
      <c r="O151" s="101">
        <f>O150/O149</f>
        <v>0.40887993219707797</v>
      </c>
      <c r="P151" s="101">
        <f>O151+O152</f>
        <v>0.40490706844687996</v>
      </c>
      <c r="Q151" s="101">
        <f t="shared" ref="Q151:X151" si="13">P151+P152</f>
        <v>0.40093420469668195</v>
      </c>
      <c r="R151" s="101">
        <f t="shared" si="13"/>
        <v>0.39696134094648394</v>
      </c>
      <c r="S151" s="101">
        <f t="shared" si="13"/>
        <v>0.39298847719628593</v>
      </c>
      <c r="T151" s="101">
        <f t="shared" si="13"/>
        <v>0.38901561344608793</v>
      </c>
      <c r="U151" s="101">
        <f t="shared" si="13"/>
        <v>0.38504274969588992</v>
      </c>
      <c r="V151" s="101">
        <f t="shared" si="13"/>
        <v>0.38106988594569191</v>
      </c>
      <c r="W151" s="101">
        <f t="shared" si="13"/>
        <v>0.3770970221954939</v>
      </c>
      <c r="X151" s="101">
        <f t="shared" si="13"/>
        <v>0.37312415844529589</v>
      </c>
      <c r="Y151" s="101">
        <f>Y150/Y149</f>
        <v>0.36915129469509778</v>
      </c>
      <c r="Z151" s="101">
        <f t="shared" ref="Z151:AK151" si="14">Y151+Y152</f>
        <v>0.36517843094489977</v>
      </c>
      <c r="AA151" s="101">
        <f t="shared" si="14"/>
        <v>0.36120556719470176</v>
      </c>
      <c r="AB151" s="101">
        <f t="shared" si="14"/>
        <v>0.35723270344450375</v>
      </c>
      <c r="AC151" s="101">
        <f t="shared" si="14"/>
        <v>0.35325983969430574</v>
      </c>
      <c r="AD151" s="101">
        <f t="shared" si="14"/>
        <v>0.34928697594410774</v>
      </c>
      <c r="AE151" s="101">
        <f t="shared" si="14"/>
        <v>0.34531411219390973</v>
      </c>
      <c r="AF151" s="101">
        <f t="shared" si="14"/>
        <v>0.34134124844371172</v>
      </c>
      <c r="AG151" s="101">
        <f t="shared" si="14"/>
        <v>0.33736838469351371</v>
      </c>
      <c r="AH151" s="101">
        <f t="shared" si="14"/>
        <v>0.3333955209433157</v>
      </c>
      <c r="AI151" s="101">
        <f t="shared" si="14"/>
        <v>0.3294226571931177</v>
      </c>
      <c r="AJ151" s="101">
        <f t="shared" si="14"/>
        <v>0.32544979344291969</v>
      </c>
      <c r="AK151" s="101">
        <f t="shared" si="14"/>
        <v>0.32147692969272168</v>
      </c>
    </row>
    <row r="152" spans="2:37" s="231" customFormat="1" x14ac:dyDescent="0.25">
      <c r="B152" s="229"/>
      <c r="C152" s="230"/>
      <c r="E152" s="231" t="s">
        <v>434</v>
      </c>
      <c r="H152" s="231" t="s">
        <v>1295</v>
      </c>
      <c r="I152" s="232"/>
      <c r="J152" s="232"/>
      <c r="K152" s="232"/>
      <c r="L152" s="232"/>
      <c r="M152" s="232"/>
      <c r="N152" s="232"/>
      <c r="O152" s="232">
        <f t="shared" ref="O152:AK152" si="15">($Y151-$O151)/($Y$2-$O$2)</f>
        <v>-3.9728637501980192E-3</v>
      </c>
      <c r="P152" s="232">
        <f t="shared" si="15"/>
        <v>-3.9728637501980192E-3</v>
      </c>
      <c r="Q152" s="232">
        <f t="shared" si="15"/>
        <v>-3.9728637501980192E-3</v>
      </c>
      <c r="R152" s="232">
        <f t="shared" si="15"/>
        <v>-3.9728637501980192E-3</v>
      </c>
      <c r="S152" s="232">
        <f t="shared" si="15"/>
        <v>-3.9728637501980192E-3</v>
      </c>
      <c r="T152" s="232">
        <f t="shared" si="15"/>
        <v>-3.9728637501980192E-3</v>
      </c>
      <c r="U152" s="232">
        <f t="shared" si="15"/>
        <v>-3.9728637501980192E-3</v>
      </c>
      <c r="V152" s="232">
        <f t="shared" si="15"/>
        <v>-3.9728637501980192E-3</v>
      </c>
      <c r="W152" s="232">
        <f t="shared" si="15"/>
        <v>-3.9728637501980192E-3</v>
      </c>
      <c r="X152" s="232">
        <f t="shared" si="15"/>
        <v>-3.9728637501980192E-3</v>
      </c>
      <c r="Y152" s="232">
        <f t="shared" si="15"/>
        <v>-3.9728637501980192E-3</v>
      </c>
      <c r="Z152" s="232">
        <f t="shared" si="15"/>
        <v>-3.9728637501980192E-3</v>
      </c>
      <c r="AA152" s="232">
        <f t="shared" si="15"/>
        <v>-3.9728637501980192E-3</v>
      </c>
      <c r="AB152" s="232">
        <f t="shared" si="15"/>
        <v>-3.9728637501980192E-3</v>
      </c>
      <c r="AC152" s="232">
        <f t="shared" si="15"/>
        <v>-3.9728637501980192E-3</v>
      </c>
      <c r="AD152" s="232">
        <f t="shared" si="15"/>
        <v>-3.9728637501980192E-3</v>
      </c>
      <c r="AE152" s="232">
        <f t="shared" si="15"/>
        <v>-3.9728637501980192E-3</v>
      </c>
      <c r="AF152" s="232">
        <f t="shared" si="15"/>
        <v>-3.9728637501980192E-3</v>
      </c>
      <c r="AG152" s="232">
        <f t="shared" si="15"/>
        <v>-3.9728637501980192E-3</v>
      </c>
      <c r="AH152" s="232">
        <f t="shared" si="15"/>
        <v>-3.9728637501980192E-3</v>
      </c>
      <c r="AI152" s="232">
        <f t="shared" si="15"/>
        <v>-3.9728637501980192E-3</v>
      </c>
      <c r="AJ152" s="232">
        <f t="shared" si="15"/>
        <v>-3.9728637501980192E-3</v>
      </c>
      <c r="AK152" s="232">
        <f t="shared" si="15"/>
        <v>-3.9728637501980192E-3</v>
      </c>
    </row>
    <row r="153" spans="2:37" s="9" customFormat="1" x14ac:dyDescent="0.25">
      <c r="B153" s="66"/>
      <c r="D153" s="9" t="s">
        <v>684</v>
      </c>
      <c r="H153" s="9" t="s">
        <v>1289</v>
      </c>
      <c r="I153" s="97"/>
      <c r="J153" s="97"/>
      <c r="K153" s="97"/>
      <c r="L153" s="97"/>
      <c r="M153" s="97"/>
      <c r="N153" s="97"/>
      <c r="O153" s="97"/>
      <c r="P153" s="97">
        <f>SUM(P155,P156*Datasheet!P1023,P157*Datasheet!P1049,P158*Datasheet!P1062,P159*Datasheet!P1075)</f>
        <v>684981.30394362286</v>
      </c>
      <c r="Q153" s="97">
        <f>SUM(Q155,Q156*Datasheet!Q1023,Q157*Datasheet!Q1049,Q158*Datasheet!Q1062,Q159*Datasheet!Q1075)</f>
        <v>686649.01780889183</v>
      </c>
      <c r="R153" s="97">
        <f>SUM(R155,R156*Datasheet!R1023,R157*Datasheet!R1049,R158*Datasheet!R1062,R159*Datasheet!R1075)</f>
        <v>653785.68993292027</v>
      </c>
      <c r="S153" s="97">
        <f>SUM(S155,S156*Datasheet!S1023,S157*Datasheet!S1049,S158*Datasheet!S1062,S159*Datasheet!S1075)</f>
        <v>650348.20401038602</v>
      </c>
      <c r="T153" s="97">
        <f>SUM(T155,T156*Datasheet!T1023,T157*Datasheet!T1049,T158*Datasheet!T1062,T159*Datasheet!T1075)</f>
        <v>639300.57124019577</v>
      </c>
      <c r="U153" s="97">
        <f>SUM(U155,U156*Datasheet!U1023,U157*Datasheet!U1049,U158*Datasheet!U1062,U159*Datasheet!U1075)</f>
        <v>668014.9778152568</v>
      </c>
      <c r="V153" s="97">
        <f>SUM(V155,V156*Datasheet!V1023,V157*Datasheet!V1049,V158*Datasheet!V1062,V159*Datasheet!V1075)</f>
        <v>693988.59007668251</v>
      </c>
      <c r="W153" s="97">
        <f>SUM(W155,W156*Datasheet!W1023,W157*Datasheet!W1049,W158*Datasheet!W1062,W159*Datasheet!W1075)</f>
        <v>708384.96462151187</v>
      </c>
      <c r="X153" s="97">
        <f>SUM(X155,X156*Datasheet!X1023,X157*Datasheet!X1049,X158*Datasheet!X1062,X159*Datasheet!X1075)</f>
        <v>797884.74958266818</v>
      </c>
      <c r="Y153" s="97">
        <f>SUM(Y155,Y156*Datasheet!Y1023,Y157*Datasheet!Y1049,Y158*Datasheet!Y1062,Y159*Datasheet!Y1075)</f>
        <v>832184.60526513355</v>
      </c>
      <c r="Z153" s="97">
        <f>SUM(Z155,Z156*Datasheet!Z1023,Z157*Datasheet!Z1049,Z158*Datasheet!Z1062,Z159*Datasheet!Z1075)</f>
        <v>827614.04337362258</v>
      </c>
      <c r="AA153" s="97">
        <f>SUM(AA155,AA156*Datasheet!AA1023,AA157*Datasheet!AA1049,AA158*Datasheet!AA1062,AA159*Datasheet!AA1075)</f>
        <v>860862.85913674708</v>
      </c>
      <c r="AB153" s="97">
        <f>SUM(AB155,AB156*Datasheet!AB1023,AB157*Datasheet!AB1049,AB158*Datasheet!AB1062,AB159*Datasheet!AB1075)</f>
        <v>475279.04909957258</v>
      </c>
      <c r="AC153" s="97">
        <f>SUM(AC155,AC156*Datasheet!AC1023,AC157*Datasheet!AC1049,AC158*Datasheet!AC1062,AC159*Datasheet!AC1075)</f>
        <v>475279.04909957258</v>
      </c>
      <c r="AD153" s="97">
        <f>SUM(AD155,AD156*Datasheet!AD1023,AD157*Datasheet!AD1049,AD158*Datasheet!AD1062,AD159*Datasheet!AD1075)</f>
        <v>475279.04909957258</v>
      </c>
      <c r="AE153" s="97">
        <f>SUM(AE155,AE156*Datasheet!AE1023,AE157*Datasheet!AE1049,AE158*Datasheet!AE1062,AE159*Datasheet!AE1075)</f>
        <v>475279.04909957258</v>
      </c>
      <c r="AF153" s="97">
        <f>SUM(AF155,AF156*Datasheet!AF1023,AF157*Datasheet!AF1049,AF158*Datasheet!AF1062,AF159*Datasheet!AF1075)</f>
        <v>475279.04909957258</v>
      </c>
      <c r="AG153" s="97">
        <f>SUM(AG155,AG156*Datasheet!AG1023,AG157*Datasheet!AG1049,AG158*Datasheet!AG1062,AG159*Datasheet!AG1075)</f>
        <v>475279.04909957258</v>
      </c>
      <c r="AH153" s="97">
        <f>SUM(AH155,AH156*Datasheet!AH1023,AH157*Datasheet!AH1049,AH158*Datasheet!AH1062,AH159*Datasheet!AH1075)</f>
        <v>475279.04909957258</v>
      </c>
      <c r="AI153" s="97">
        <f>SUM(AI155,AI156*Datasheet!AI1023,AI157*Datasheet!AI1049,AI158*Datasheet!AI1062,AI159*Datasheet!AI1075)</f>
        <v>475279.04909957258</v>
      </c>
      <c r="AJ153" s="97">
        <f>SUM(AJ155,AJ156*Datasheet!AJ1023,AJ157*Datasheet!AJ1049,AJ158*Datasheet!AJ1062,AJ159*Datasheet!AJ1075)</f>
        <v>475279.04909957258</v>
      </c>
      <c r="AK153" s="97">
        <f>SUM(AK155,AK156*Datasheet!AK1023,AK157*Datasheet!AK1049,AK158*Datasheet!AK1062,AK159*Datasheet!AK1075)</f>
        <v>475279.04909957258</v>
      </c>
    </row>
    <row r="154" spans="2:37" s="109" customFormat="1" x14ac:dyDescent="0.25">
      <c r="B154" s="182"/>
      <c r="E154" s="109" t="s">
        <v>686</v>
      </c>
      <c r="I154" s="136"/>
      <c r="J154" s="136"/>
      <c r="K154" s="136"/>
      <c r="L154" s="136"/>
      <c r="M154" s="136"/>
      <c r="N154" s="136"/>
      <c r="O154" s="136"/>
      <c r="Z154" s="136"/>
      <c r="AA154" s="136"/>
      <c r="AB154" s="136"/>
      <c r="AC154" s="136"/>
      <c r="AD154" s="136"/>
      <c r="AE154" s="136"/>
      <c r="AF154" s="136"/>
      <c r="AG154" s="136"/>
      <c r="AH154" s="136"/>
      <c r="AI154" s="136"/>
      <c r="AJ154" s="136"/>
      <c r="AK154" s="136"/>
    </row>
    <row r="155" spans="2:37" s="109" customFormat="1" x14ac:dyDescent="0.25">
      <c r="B155" s="182"/>
      <c r="G155" s="109" t="s">
        <v>679</v>
      </c>
      <c r="H155" s="109" t="s">
        <v>1289</v>
      </c>
      <c r="I155" s="136"/>
      <c r="J155" s="136"/>
      <c r="K155" s="136"/>
      <c r="L155" s="136"/>
      <c r="M155" s="136"/>
      <c r="N155" s="136"/>
      <c r="O155" s="136"/>
      <c r="P155" s="227">
        <v>475279.04909957258</v>
      </c>
      <c r="Q155" s="227">
        <v>475279.04909957258</v>
      </c>
      <c r="R155" s="227">
        <v>475279.04909957258</v>
      </c>
      <c r="S155" s="227">
        <v>475279.04909957258</v>
      </c>
      <c r="T155" s="227">
        <v>475279.04909957258</v>
      </c>
      <c r="U155" s="227">
        <v>475279.04909957258</v>
      </c>
      <c r="V155" s="227">
        <v>475279.04909957258</v>
      </c>
      <c r="W155" s="227">
        <v>475279.04909957258</v>
      </c>
      <c r="X155" s="227">
        <v>475279.04909957258</v>
      </c>
      <c r="Y155" s="227">
        <v>475279.04909957258</v>
      </c>
      <c r="Z155" s="227">
        <v>475279.04909957258</v>
      </c>
      <c r="AA155" s="227">
        <v>475279.04909957258</v>
      </c>
      <c r="AB155" s="227">
        <v>475279.04909957258</v>
      </c>
      <c r="AC155" s="227">
        <v>475279.04909957258</v>
      </c>
      <c r="AD155" s="227">
        <v>475279.04909957258</v>
      </c>
      <c r="AE155" s="227">
        <v>475279.04909957258</v>
      </c>
      <c r="AF155" s="227">
        <v>475279.04909957258</v>
      </c>
      <c r="AG155" s="227">
        <v>475279.04909957258</v>
      </c>
      <c r="AH155" s="227">
        <v>475279.04909957258</v>
      </c>
      <c r="AI155" s="227">
        <v>475279.04909957258</v>
      </c>
      <c r="AJ155" s="227">
        <v>475279.04909957258</v>
      </c>
      <c r="AK155" s="227">
        <v>475279.04909957258</v>
      </c>
    </row>
    <row r="156" spans="2:37" s="109" customFormat="1" x14ac:dyDescent="0.25">
      <c r="B156" s="182"/>
      <c r="G156" s="109" t="s">
        <v>680</v>
      </c>
      <c r="H156" s="109" t="s">
        <v>1290</v>
      </c>
      <c r="I156" s="136"/>
      <c r="J156" s="136"/>
      <c r="K156" s="136"/>
      <c r="L156" s="136"/>
      <c r="M156" s="136"/>
      <c r="N156" s="136"/>
      <c r="O156" s="136"/>
      <c r="P156" s="227">
        <v>9.5619153513842221</v>
      </c>
      <c r="Q156" s="227">
        <v>9.5619153513842221</v>
      </c>
      <c r="R156" s="227">
        <v>9.5619153513842221</v>
      </c>
      <c r="S156" s="227">
        <v>9.5619153513842221</v>
      </c>
      <c r="T156" s="227">
        <v>9.5619153513842221</v>
      </c>
      <c r="U156" s="227">
        <v>9.5619153513842221</v>
      </c>
      <c r="V156" s="227">
        <v>9.5619153513842221</v>
      </c>
      <c r="W156" s="227">
        <v>9.5619153513842221</v>
      </c>
      <c r="X156" s="227">
        <v>9.5619153513842221</v>
      </c>
      <c r="Y156" s="227">
        <v>9.5619153513842221</v>
      </c>
      <c r="Z156" s="227">
        <v>9.5619153513842221</v>
      </c>
      <c r="AA156" s="227">
        <v>9.5619153513842221</v>
      </c>
      <c r="AB156" s="227">
        <v>9.5619153513842221</v>
      </c>
      <c r="AC156" s="227">
        <v>9.5619153513842221</v>
      </c>
      <c r="AD156" s="227">
        <v>9.5619153513842221</v>
      </c>
      <c r="AE156" s="227">
        <v>9.5619153513842221</v>
      </c>
      <c r="AF156" s="227">
        <v>9.5619153513842221</v>
      </c>
      <c r="AG156" s="227">
        <v>9.5619153513842221</v>
      </c>
      <c r="AH156" s="227">
        <v>9.5619153513842221</v>
      </c>
      <c r="AI156" s="227">
        <v>9.5619153513842221</v>
      </c>
      <c r="AJ156" s="227">
        <v>9.5619153513842221</v>
      </c>
      <c r="AK156" s="227">
        <v>9.5619153513842221</v>
      </c>
    </row>
    <row r="157" spans="2:37" s="109" customFormat="1" x14ac:dyDescent="0.25">
      <c r="B157" s="182"/>
      <c r="G157" s="109" t="s">
        <v>681</v>
      </c>
      <c r="H157" s="109" t="s">
        <v>1290</v>
      </c>
      <c r="I157" s="136"/>
      <c r="J157" s="136"/>
      <c r="K157" s="136"/>
      <c r="L157" s="136"/>
      <c r="M157" s="136"/>
      <c r="N157" s="136"/>
      <c r="O157" s="136"/>
      <c r="P157" s="227">
        <v>-1.4930483220835771</v>
      </c>
      <c r="Q157" s="227">
        <v>-1.4930483220835771</v>
      </c>
      <c r="R157" s="227">
        <v>-1.4930483220835771</v>
      </c>
      <c r="S157" s="227">
        <v>-1.4930483220835771</v>
      </c>
      <c r="T157" s="227">
        <v>-1.4930483220835771</v>
      </c>
      <c r="U157" s="227">
        <v>-1.4930483220835771</v>
      </c>
      <c r="V157" s="227">
        <v>-1.4930483220835771</v>
      </c>
      <c r="W157" s="227">
        <v>-1.4930483220835771</v>
      </c>
      <c r="X157" s="227">
        <v>-1.4930483220835771</v>
      </c>
      <c r="Y157" s="227">
        <v>-1.4930483220835771</v>
      </c>
      <c r="Z157" s="227">
        <v>-1.4930483220835771</v>
      </c>
      <c r="AA157" s="227">
        <v>-1.4930483220835771</v>
      </c>
      <c r="AB157" s="227">
        <v>-1.4930483220835771</v>
      </c>
      <c r="AC157" s="227">
        <v>-1.4930483220835771</v>
      </c>
      <c r="AD157" s="227">
        <v>-1.4930483220835771</v>
      </c>
      <c r="AE157" s="227">
        <v>-1.4930483220835771</v>
      </c>
      <c r="AF157" s="227">
        <v>-1.4930483220835771</v>
      </c>
      <c r="AG157" s="227">
        <v>-1.4930483220835771</v>
      </c>
      <c r="AH157" s="227">
        <v>-1.4930483220835771</v>
      </c>
      <c r="AI157" s="227">
        <v>-1.4930483220835771</v>
      </c>
      <c r="AJ157" s="227">
        <v>-1.4930483220835771</v>
      </c>
      <c r="AK157" s="227">
        <v>-1.4930483220835771</v>
      </c>
    </row>
    <row r="158" spans="2:37" s="109" customFormat="1" x14ac:dyDescent="0.25">
      <c r="B158" s="182"/>
      <c r="G158" s="109" t="s">
        <v>682</v>
      </c>
      <c r="H158" s="109" t="s">
        <v>1290</v>
      </c>
      <c r="I158" s="136"/>
      <c r="J158" s="136"/>
      <c r="K158" s="136"/>
      <c r="L158" s="136"/>
      <c r="M158" s="136"/>
      <c r="N158" s="136"/>
      <c r="O158" s="136"/>
      <c r="P158" s="228">
        <v>-6.1198535430326988</v>
      </c>
      <c r="Q158" s="228">
        <v>-6.1198535430326988</v>
      </c>
      <c r="R158" s="228">
        <v>-6.1198535430326988</v>
      </c>
      <c r="S158" s="228">
        <v>-6.1198535430326988</v>
      </c>
      <c r="T158" s="228">
        <v>-6.1198535430326988</v>
      </c>
      <c r="U158" s="228">
        <v>-6.1198535430326988</v>
      </c>
      <c r="V158" s="228">
        <v>-6.1198535430326988</v>
      </c>
      <c r="W158" s="228">
        <v>-6.1198535430326988</v>
      </c>
      <c r="X158" s="228">
        <v>-6.1198535430326988</v>
      </c>
      <c r="Y158" s="228">
        <v>-6.1198535430326988</v>
      </c>
      <c r="Z158" s="228">
        <v>-6.1198535430326988</v>
      </c>
      <c r="AA158" s="228">
        <v>-6.1198535430326988</v>
      </c>
      <c r="AB158" s="228">
        <v>-6.1198535430326988</v>
      </c>
      <c r="AC158" s="228">
        <v>-6.1198535430326988</v>
      </c>
      <c r="AD158" s="228">
        <v>-6.1198535430326988</v>
      </c>
      <c r="AE158" s="228">
        <v>-6.1198535430326988</v>
      </c>
      <c r="AF158" s="228">
        <v>-6.1198535430326988</v>
      </c>
      <c r="AG158" s="228">
        <v>-6.1198535430326988</v>
      </c>
      <c r="AH158" s="228">
        <v>-6.1198535430326988</v>
      </c>
      <c r="AI158" s="228">
        <v>-6.1198535430326988</v>
      </c>
      <c r="AJ158" s="228">
        <v>-6.1198535430326988</v>
      </c>
      <c r="AK158" s="228">
        <v>-6.1198535430326988</v>
      </c>
    </row>
    <row r="159" spans="2:37" s="109" customFormat="1" x14ac:dyDescent="0.25">
      <c r="B159" s="182"/>
      <c r="G159" s="109" t="s">
        <v>683</v>
      </c>
      <c r="H159" s="109" t="s">
        <v>1290</v>
      </c>
      <c r="I159" s="136"/>
      <c r="J159" s="136"/>
      <c r="K159" s="136"/>
      <c r="L159" s="136"/>
      <c r="M159" s="136"/>
      <c r="N159" s="136"/>
      <c r="O159" s="136"/>
      <c r="P159" s="228">
        <v>4.3516593903237766</v>
      </c>
      <c r="Q159" s="228">
        <v>4.3516593903237766</v>
      </c>
      <c r="R159" s="228">
        <v>4.3516593903237766</v>
      </c>
      <c r="S159" s="228">
        <v>4.3516593903237766</v>
      </c>
      <c r="T159" s="228">
        <v>4.3516593903237766</v>
      </c>
      <c r="U159" s="228">
        <v>4.3516593903237766</v>
      </c>
      <c r="V159" s="228">
        <v>4.3516593903237766</v>
      </c>
      <c r="W159" s="228">
        <v>4.3516593903237766</v>
      </c>
      <c r="X159" s="228">
        <v>4.3516593903237766</v>
      </c>
      <c r="Y159" s="228">
        <v>4.3516593903237766</v>
      </c>
      <c r="Z159" s="228">
        <v>4.3516593903237766</v>
      </c>
      <c r="AA159" s="228">
        <v>4.3516593903237766</v>
      </c>
      <c r="AB159" s="228">
        <v>4.3516593903237766</v>
      </c>
      <c r="AC159" s="228">
        <v>4.3516593903237766</v>
      </c>
      <c r="AD159" s="228">
        <v>4.3516593903237766</v>
      </c>
      <c r="AE159" s="228">
        <v>4.3516593903237766</v>
      </c>
      <c r="AF159" s="228">
        <v>4.3516593903237766</v>
      </c>
      <c r="AG159" s="228">
        <v>4.3516593903237766</v>
      </c>
      <c r="AH159" s="228">
        <v>4.3516593903237766</v>
      </c>
      <c r="AI159" s="228">
        <v>4.3516593903237766</v>
      </c>
      <c r="AJ159" s="228">
        <v>4.3516593903237766</v>
      </c>
      <c r="AK159" s="228">
        <v>4.3516593903237766</v>
      </c>
    </row>
    <row r="160" spans="2:37" s="103" customFormat="1" x14ac:dyDescent="0.25">
      <c r="B160" s="104"/>
      <c r="C160" s="105" t="s">
        <v>441</v>
      </c>
      <c r="H160" s="103" t="s">
        <v>1291</v>
      </c>
      <c r="I160" s="106"/>
      <c r="J160" s="106"/>
      <c r="K160" s="106"/>
      <c r="L160" s="106"/>
      <c r="M160" s="106"/>
      <c r="N160" s="106"/>
      <c r="O160" s="106">
        <f t="shared" ref="O160:AK160" si="16">O161*O163</f>
        <v>70546</v>
      </c>
      <c r="P160" s="106">
        <f t="shared" si="16"/>
        <v>65264.47092272681</v>
      </c>
      <c r="Q160" s="106">
        <f t="shared" si="16"/>
        <v>65853.460091159184</v>
      </c>
      <c r="R160" s="106">
        <f t="shared" si="16"/>
        <v>63494.012838279865</v>
      </c>
      <c r="S160" s="106">
        <f t="shared" si="16"/>
        <v>61378.766106358169</v>
      </c>
      <c r="T160" s="106">
        <f t="shared" si="16"/>
        <v>65135.652096991413</v>
      </c>
      <c r="U160" s="106">
        <f t="shared" si="16"/>
        <v>68487.239847891513</v>
      </c>
      <c r="V160" s="106">
        <f t="shared" si="16"/>
        <v>68774.477656951814</v>
      </c>
      <c r="W160" s="106">
        <f t="shared" si="16"/>
        <v>75862.146902429871</v>
      </c>
      <c r="X160" s="106">
        <f t="shared" si="16"/>
        <v>75911.897601890698</v>
      </c>
      <c r="Y160" s="106">
        <f t="shared" si="16"/>
        <v>83466</v>
      </c>
      <c r="Z160" s="106">
        <f t="shared" si="16"/>
        <v>96369.891250047003</v>
      </c>
      <c r="AA160" s="106">
        <f t="shared" si="16"/>
        <v>59922.6710681818</v>
      </c>
      <c r="AB160" s="106">
        <f t="shared" si="16"/>
        <v>0</v>
      </c>
      <c r="AC160" s="106">
        <f t="shared" si="16"/>
        <v>0</v>
      </c>
      <c r="AD160" s="106">
        <f t="shared" si="16"/>
        <v>0</v>
      </c>
      <c r="AE160" s="106">
        <f t="shared" si="16"/>
        <v>0</v>
      </c>
      <c r="AF160" s="106">
        <f t="shared" si="16"/>
        <v>0</v>
      </c>
      <c r="AG160" s="106">
        <f t="shared" si="16"/>
        <v>0</v>
      </c>
      <c r="AH160" s="106">
        <f t="shared" si="16"/>
        <v>0</v>
      </c>
      <c r="AI160" s="106">
        <f t="shared" si="16"/>
        <v>0</v>
      </c>
      <c r="AJ160" s="106">
        <f t="shared" si="16"/>
        <v>0</v>
      </c>
      <c r="AK160" s="106">
        <f t="shared" si="16"/>
        <v>0</v>
      </c>
    </row>
    <row r="161" spans="2:37" s="97" customFormat="1" x14ac:dyDescent="0.25">
      <c r="D161" s="97" t="s">
        <v>21</v>
      </c>
      <c r="H161" s="97" t="s">
        <v>1297</v>
      </c>
      <c r="O161" s="97">
        <f>Datasheet!O1240</f>
        <v>311761</v>
      </c>
      <c r="P161" s="97">
        <f>Datasheet!P1240</f>
        <v>290088</v>
      </c>
      <c r="Q161" s="97">
        <f>Datasheet!Q1240</f>
        <v>294408</v>
      </c>
      <c r="R161" s="97">
        <f>Datasheet!R1240</f>
        <v>285520</v>
      </c>
      <c r="S161" s="97">
        <f>Datasheet!S1240</f>
        <v>277632</v>
      </c>
      <c r="T161" s="97">
        <f>Datasheet!T1240</f>
        <v>296369</v>
      </c>
      <c r="U161" s="97">
        <f>Datasheet!U1240</f>
        <v>313474</v>
      </c>
      <c r="V161" s="97">
        <f>Datasheet!V1240</f>
        <v>316674</v>
      </c>
      <c r="W161" s="97">
        <f>Datasheet!W1240</f>
        <v>351414</v>
      </c>
      <c r="X161" s="97">
        <f>Datasheet!X1240</f>
        <v>353776</v>
      </c>
      <c r="Y161" s="97">
        <f>Datasheet!Y1240</f>
        <v>391353</v>
      </c>
      <c r="Z161" s="97">
        <f>Datasheet!Z1240</f>
        <v>454629</v>
      </c>
      <c r="AA161" s="97">
        <f>Datasheet!AA1240</f>
        <v>284433</v>
      </c>
      <c r="AB161" s="97">
        <f>Datasheet!AB1240</f>
        <v>0</v>
      </c>
      <c r="AC161" s="97">
        <f>Datasheet!AC1240</f>
        <v>0</v>
      </c>
      <c r="AD161" s="97">
        <f>Datasheet!AD1240</f>
        <v>0</v>
      </c>
      <c r="AE161" s="97">
        <f>Datasheet!AE1240</f>
        <v>0</v>
      </c>
      <c r="AF161" s="97">
        <f>Datasheet!AF1240</f>
        <v>0</v>
      </c>
      <c r="AG161" s="97">
        <f>Datasheet!AG1240</f>
        <v>0</v>
      </c>
      <c r="AH161" s="97">
        <f>Datasheet!AH1240</f>
        <v>0</v>
      </c>
      <c r="AI161" s="97">
        <f>Datasheet!AI1240</f>
        <v>0</v>
      </c>
      <c r="AJ161" s="97">
        <f>Datasheet!AJ1240</f>
        <v>0</v>
      </c>
      <c r="AK161" s="97">
        <f>Datasheet!AK1240</f>
        <v>0</v>
      </c>
    </row>
    <row r="162" spans="2:37" s="97" customFormat="1" x14ac:dyDescent="0.25">
      <c r="C162" s="203"/>
      <c r="D162" s="97" t="s">
        <v>1566</v>
      </c>
      <c r="H162" s="97" t="s">
        <v>1291</v>
      </c>
      <c r="O162" s="97">
        <v>70546</v>
      </c>
      <c r="Y162" s="97">
        <v>83466</v>
      </c>
    </row>
    <row r="163" spans="2:37" s="102" customFormat="1" x14ac:dyDescent="0.25">
      <c r="B163" s="116"/>
      <c r="C163" s="117"/>
      <c r="E163" s="102" t="s">
        <v>433</v>
      </c>
      <c r="H163" s="102" t="s">
        <v>1300</v>
      </c>
      <c r="I163" s="101"/>
      <c r="J163" s="101"/>
      <c r="K163" s="101"/>
      <c r="L163" s="101"/>
      <c r="M163" s="101"/>
      <c r="N163" s="101"/>
      <c r="O163" s="101">
        <f>O162/O161</f>
        <v>0.22628231241239283</v>
      </c>
      <c r="P163" s="101">
        <f>O163+O164</f>
        <v>0.22498162944598471</v>
      </c>
      <c r="Q163" s="101">
        <f t="shared" ref="Q163:X163" si="17">P163+P164</f>
        <v>0.22368094647957659</v>
      </c>
      <c r="R163" s="101">
        <f t="shared" si="17"/>
        <v>0.22238026351316847</v>
      </c>
      <c r="S163" s="101">
        <f t="shared" si="17"/>
        <v>0.22107958054676036</v>
      </c>
      <c r="T163" s="101">
        <f t="shared" si="17"/>
        <v>0.21977889758035224</v>
      </c>
      <c r="U163" s="101">
        <f t="shared" si="17"/>
        <v>0.21847821461394412</v>
      </c>
      <c r="V163" s="101">
        <f t="shared" si="17"/>
        <v>0.217177531647536</v>
      </c>
      <c r="W163" s="101">
        <f t="shared" si="17"/>
        <v>0.21587684868112789</v>
      </c>
      <c r="X163" s="101">
        <f t="shared" si="17"/>
        <v>0.21457616571471977</v>
      </c>
      <c r="Y163" s="101">
        <f>Y162/Y161</f>
        <v>0.21327548274831162</v>
      </c>
      <c r="Z163" s="101">
        <f t="shared" ref="Z163:AK163" si="18">Y163+Y164</f>
        <v>0.21197479978190351</v>
      </c>
      <c r="AA163" s="101">
        <f t="shared" si="18"/>
        <v>0.21067411681549539</v>
      </c>
      <c r="AB163" s="101">
        <f t="shared" si="18"/>
        <v>0.20937343384908727</v>
      </c>
      <c r="AC163" s="101">
        <f t="shared" si="18"/>
        <v>0.20807275088267915</v>
      </c>
      <c r="AD163" s="101">
        <f t="shared" si="18"/>
        <v>0.20677206791627104</v>
      </c>
      <c r="AE163" s="101">
        <f t="shared" si="18"/>
        <v>0.20547138494986292</v>
      </c>
      <c r="AF163" s="101">
        <f t="shared" si="18"/>
        <v>0.2041707019834548</v>
      </c>
      <c r="AG163" s="101">
        <f t="shared" si="18"/>
        <v>0.20287001901704668</v>
      </c>
      <c r="AH163" s="101">
        <f t="shared" si="18"/>
        <v>0.20156933605063856</v>
      </c>
      <c r="AI163" s="101">
        <f t="shared" si="18"/>
        <v>0.20026865308423045</v>
      </c>
      <c r="AJ163" s="101">
        <f t="shared" si="18"/>
        <v>0.19896797011782233</v>
      </c>
      <c r="AK163" s="101">
        <f t="shared" si="18"/>
        <v>0.19766728715141421</v>
      </c>
    </row>
    <row r="164" spans="2:37" s="231" customFormat="1" x14ac:dyDescent="0.25">
      <c r="B164" s="229"/>
      <c r="C164" s="230"/>
      <c r="E164" s="231" t="s">
        <v>434</v>
      </c>
      <c r="H164" s="231" t="s">
        <v>1300</v>
      </c>
      <c r="I164" s="232"/>
      <c r="J164" s="232"/>
      <c r="K164" s="232"/>
      <c r="L164" s="232"/>
      <c r="M164" s="232"/>
      <c r="N164" s="232"/>
      <c r="O164" s="232">
        <f t="shared" ref="O164:AK164" si="19">($Y163-$O163)/($Y$2-$O$2)</f>
        <v>-1.3006829664081205E-3</v>
      </c>
      <c r="P164" s="232">
        <f t="shared" si="19"/>
        <v>-1.3006829664081205E-3</v>
      </c>
      <c r="Q164" s="232">
        <f t="shared" si="19"/>
        <v>-1.3006829664081205E-3</v>
      </c>
      <c r="R164" s="232">
        <f t="shared" si="19"/>
        <v>-1.3006829664081205E-3</v>
      </c>
      <c r="S164" s="232">
        <f t="shared" si="19"/>
        <v>-1.3006829664081205E-3</v>
      </c>
      <c r="T164" s="232">
        <f t="shared" si="19"/>
        <v>-1.3006829664081205E-3</v>
      </c>
      <c r="U164" s="232">
        <f t="shared" si="19"/>
        <v>-1.3006829664081205E-3</v>
      </c>
      <c r="V164" s="232">
        <f t="shared" si="19"/>
        <v>-1.3006829664081205E-3</v>
      </c>
      <c r="W164" s="232">
        <f t="shared" si="19"/>
        <v>-1.3006829664081205E-3</v>
      </c>
      <c r="X164" s="232">
        <f t="shared" si="19"/>
        <v>-1.3006829664081205E-3</v>
      </c>
      <c r="Y164" s="232">
        <f t="shared" si="19"/>
        <v>-1.3006829664081205E-3</v>
      </c>
      <c r="Z164" s="232">
        <f t="shared" si="19"/>
        <v>-1.3006829664081205E-3</v>
      </c>
      <c r="AA164" s="232">
        <f t="shared" si="19"/>
        <v>-1.3006829664081205E-3</v>
      </c>
      <c r="AB164" s="232">
        <f t="shared" si="19"/>
        <v>-1.3006829664081205E-3</v>
      </c>
      <c r="AC164" s="232">
        <f t="shared" si="19"/>
        <v>-1.3006829664081205E-3</v>
      </c>
      <c r="AD164" s="232">
        <f t="shared" si="19"/>
        <v>-1.3006829664081205E-3</v>
      </c>
      <c r="AE164" s="232">
        <f t="shared" si="19"/>
        <v>-1.3006829664081205E-3</v>
      </c>
      <c r="AF164" s="232">
        <f t="shared" si="19"/>
        <v>-1.3006829664081205E-3</v>
      </c>
      <c r="AG164" s="232">
        <f t="shared" si="19"/>
        <v>-1.3006829664081205E-3</v>
      </c>
      <c r="AH164" s="232">
        <f t="shared" si="19"/>
        <v>-1.3006829664081205E-3</v>
      </c>
      <c r="AI164" s="232">
        <f t="shared" si="19"/>
        <v>-1.3006829664081205E-3</v>
      </c>
      <c r="AJ164" s="232">
        <f t="shared" si="19"/>
        <v>-1.3006829664081205E-3</v>
      </c>
      <c r="AK164" s="232">
        <f t="shared" si="19"/>
        <v>-1.3006829664081205E-3</v>
      </c>
    </row>
    <row r="165" spans="2:37" s="103" customFormat="1" x14ac:dyDescent="0.25">
      <c r="B165" s="104"/>
      <c r="C165" s="105" t="s">
        <v>442</v>
      </c>
      <c r="H165" s="103" t="s">
        <v>1291</v>
      </c>
      <c r="I165" s="106"/>
      <c r="J165" s="106"/>
      <c r="K165" s="106"/>
      <c r="L165" s="106"/>
      <c r="M165" s="106"/>
      <c r="N165" s="106"/>
      <c r="O165" s="106">
        <f t="shared" ref="O165:AK165" si="20">SUM(O138,O143,O148,O160)*AVERAGE($O167,$Y167)</f>
        <v>9313.0054428981475</v>
      </c>
      <c r="P165" s="106">
        <f t="shared" si="20"/>
        <v>9676.0688210961525</v>
      </c>
      <c r="Q165" s="106">
        <f t="shared" si="20"/>
        <v>9655.5592911487747</v>
      </c>
      <c r="R165" s="106">
        <f t="shared" si="20"/>
        <v>9220.0684887250336</v>
      </c>
      <c r="S165" s="106">
        <f t="shared" si="20"/>
        <v>8951.4421815455607</v>
      </c>
      <c r="T165" s="106">
        <f t="shared" si="20"/>
        <v>9041.7500921006213</v>
      </c>
      <c r="U165" s="106">
        <f t="shared" si="20"/>
        <v>9187.0210819439853</v>
      </c>
      <c r="V165" s="106">
        <f t="shared" si="20"/>
        <v>9624.3034883221753</v>
      </c>
      <c r="W165" s="106">
        <f t="shared" si="20"/>
        <v>9928.0636482821246</v>
      </c>
      <c r="X165" s="106">
        <f t="shared" si="20"/>
        <v>10750.705031459218</v>
      </c>
      <c r="Y165" s="106">
        <f t="shared" si="20"/>
        <v>11147.54583560868</v>
      </c>
      <c r="Z165" s="106">
        <f t="shared" si="20"/>
        <v>11331.41822017545</v>
      </c>
      <c r="AA165" s="106">
        <f t="shared" si="20"/>
        <v>10628.948926558503</v>
      </c>
      <c r="AB165" s="106">
        <f t="shared" si="20"/>
        <v>3997.5594984677668</v>
      </c>
      <c r="AC165" s="106">
        <f t="shared" si="20"/>
        <v>3953.101756867999</v>
      </c>
      <c r="AD165" s="106">
        <f t="shared" si="20"/>
        <v>3908.6440152682303</v>
      </c>
      <c r="AE165" s="106">
        <f t="shared" si="20"/>
        <v>3864.1862736684625</v>
      </c>
      <c r="AF165" s="106">
        <f t="shared" si="20"/>
        <v>3819.7285320686942</v>
      </c>
      <c r="AG165" s="106">
        <f t="shared" si="20"/>
        <v>3775.2707904689264</v>
      </c>
      <c r="AH165" s="106">
        <f t="shared" si="20"/>
        <v>3730.8130488691586</v>
      </c>
      <c r="AI165" s="106">
        <f t="shared" si="20"/>
        <v>3686.3553072693899</v>
      </c>
      <c r="AJ165" s="106">
        <f t="shared" si="20"/>
        <v>3641.8975656696221</v>
      </c>
      <c r="AK165" s="106">
        <f t="shared" si="20"/>
        <v>3597.4398240698542</v>
      </c>
    </row>
    <row r="166" spans="2:37" s="97" customFormat="1" x14ac:dyDescent="0.25">
      <c r="C166" s="203"/>
      <c r="D166" s="97" t="s">
        <v>437</v>
      </c>
      <c r="H166" s="97" t="s">
        <v>1291</v>
      </c>
      <c r="O166" s="97">
        <v>14108</v>
      </c>
      <c r="Y166" s="97">
        <v>5408</v>
      </c>
    </row>
    <row r="167" spans="2:37" s="102" customFormat="1" x14ac:dyDescent="0.25">
      <c r="B167" s="116"/>
      <c r="C167" s="117"/>
      <c r="E167" s="102" t="s">
        <v>433</v>
      </c>
      <c r="H167" s="102" t="s">
        <v>1298</v>
      </c>
      <c r="O167" s="102">
        <f>O166/SUM(O140,O145,O150,O162)</f>
        <v>3.5667334101895112E-2</v>
      </c>
      <c r="Y167" s="102">
        <f>Y166/SUM(Y140,Y145,Y150,Y162)</f>
        <v>1.1422271316961692E-2</v>
      </c>
      <c r="AA167" s="86"/>
    </row>
    <row r="168" spans="2:37" s="103" customFormat="1" x14ac:dyDescent="0.25">
      <c r="B168" s="104"/>
      <c r="C168" s="105" t="s">
        <v>443</v>
      </c>
      <c r="H168" s="103" t="s">
        <v>1291</v>
      </c>
      <c r="I168" s="106"/>
      <c r="J168" s="106"/>
      <c r="K168" s="106"/>
      <c r="L168" s="106"/>
      <c r="M168" s="106"/>
      <c r="N168" s="106"/>
      <c r="O168" s="106">
        <f t="shared" ref="O168:AK168" si="21">SUM(O138,O143,O148,O160,O165)</f>
        <v>404857.00544289814</v>
      </c>
      <c r="P168" s="106">
        <f t="shared" si="21"/>
        <v>420640.17586886586</v>
      </c>
      <c r="Q168" s="106">
        <f t="shared" si="21"/>
        <v>419748.58110620326</v>
      </c>
      <c r="R168" s="106">
        <f t="shared" si="21"/>
        <v>400816.82988494192</v>
      </c>
      <c r="S168" s="106">
        <f t="shared" si="21"/>
        <v>389139.04842387768</v>
      </c>
      <c r="T168" s="106">
        <f t="shared" si="21"/>
        <v>393064.93362380617</v>
      </c>
      <c r="U168" s="106">
        <f t="shared" si="21"/>
        <v>399380.18580381642</v>
      </c>
      <c r="V168" s="106">
        <f t="shared" si="21"/>
        <v>418389.8220232543</v>
      </c>
      <c r="W168" s="106">
        <f t="shared" si="21"/>
        <v>431594.95000135741</v>
      </c>
      <c r="X168" s="106">
        <f t="shared" si="21"/>
        <v>467356.99577579193</v>
      </c>
      <c r="Y168" s="106">
        <f t="shared" si="21"/>
        <v>484608.54583560867</v>
      </c>
      <c r="Z168" s="106">
        <f t="shared" si="21"/>
        <v>492601.8862728909</v>
      </c>
      <c r="AA168" s="106">
        <f t="shared" si="21"/>
        <v>462063.98780680326</v>
      </c>
      <c r="AB168" s="106">
        <f t="shared" si="21"/>
        <v>173782.77909884113</v>
      </c>
      <c r="AC168" s="106">
        <f t="shared" si="21"/>
        <v>171850.1024518451</v>
      </c>
      <c r="AD168" s="106">
        <f t="shared" si="21"/>
        <v>169917.42580484902</v>
      </c>
      <c r="AE168" s="106">
        <f t="shared" si="21"/>
        <v>167984.74915785299</v>
      </c>
      <c r="AF168" s="106">
        <f t="shared" si="21"/>
        <v>166052.07251085696</v>
      </c>
      <c r="AG168" s="106">
        <f t="shared" si="21"/>
        <v>164119.39586386093</v>
      </c>
      <c r="AH168" s="106">
        <f t="shared" si="21"/>
        <v>162186.71921686491</v>
      </c>
      <c r="AI168" s="106">
        <f t="shared" si="21"/>
        <v>160254.04256986882</v>
      </c>
      <c r="AJ168" s="106">
        <f t="shared" si="21"/>
        <v>158321.36592287279</v>
      </c>
      <c r="AK168" s="106">
        <f t="shared" si="21"/>
        <v>156388.68927587676</v>
      </c>
    </row>
    <row r="169" spans="2:37" s="136" customFormat="1" x14ac:dyDescent="0.25">
      <c r="D169" s="136" t="s">
        <v>445</v>
      </c>
      <c r="H169" s="136" t="s">
        <v>1291</v>
      </c>
      <c r="O169" s="136">
        <f>SUM(O140,O145,O150,O162,O166)</f>
        <v>409652</v>
      </c>
      <c r="Y169" s="136">
        <f>SUM(Y140,Y145,Y150,Y162,Y166)</f>
        <v>478869</v>
      </c>
    </row>
    <row r="170" spans="2:37" s="97" customFormat="1" x14ac:dyDescent="0.25">
      <c r="D170" s="97" t="s">
        <v>456</v>
      </c>
      <c r="H170" s="97" t="s">
        <v>1296</v>
      </c>
      <c r="Q170" s="97">
        <f>AVERAGE(Q171:Q182)</f>
        <v>805.39019508157901</v>
      </c>
      <c r="R170" s="97">
        <f t="shared" ref="R170:AK170" si="22">AVERAGE(R171:R182)</f>
        <v>769.06543053132418</v>
      </c>
      <c r="S170" s="97">
        <f t="shared" si="22"/>
        <v>746.63041983604455</v>
      </c>
      <c r="T170" s="97">
        <f t="shared" si="22"/>
        <v>754.16201806427523</v>
      </c>
      <c r="U170" s="97">
        <f t="shared" si="22"/>
        <v>766.24801846178241</v>
      </c>
      <c r="V170" s="97">
        <f t="shared" si="22"/>
        <v>802.71402238949452</v>
      </c>
      <c r="W170" s="97">
        <f t="shared" si="22"/>
        <v>828.03689865247031</v>
      </c>
      <c r="X170" s="97">
        <f t="shared" si="22"/>
        <v>896.64077101789326</v>
      </c>
      <c r="Y170" s="97">
        <f t="shared" si="22"/>
        <v>929.74021393778264</v>
      </c>
      <c r="Z170" s="97">
        <f t="shared" si="22"/>
        <v>945.06816763850577</v>
      </c>
      <c r="AA170" s="97" t="e">
        <f t="shared" si="22"/>
        <v>#DIV/0!</v>
      </c>
      <c r="AB170" s="97" t="e">
        <f t="shared" si="22"/>
        <v>#DIV/0!</v>
      </c>
      <c r="AC170" s="97" t="e">
        <f t="shared" si="22"/>
        <v>#DIV/0!</v>
      </c>
      <c r="AD170" s="97" t="e">
        <f t="shared" si="22"/>
        <v>#DIV/0!</v>
      </c>
      <c r="AE170" s="97" t="e">
        <f t="shared" si="22"/>
        <v>#DIV/0!</v>
      </c>
      <c r="AF170" s="97" t="e">
        <f t="shared" si="22"/>
        <v>#DIV/0!</v>
      </c>
      <c r="AG170" s="97" t="e">
        <f t="shared" si="22"/>
        <v>#DIV/0!</v>
      </c>
      <c r="AH170" s="97" t="e">
        <f t="shared" si="22"/>
        <v>#DIV/0!</v>
      </c>
      <c r="AI170" s="97" t="e">
        <f t="shared" si="22"/>
        <v>#DIV/0!</v>
      </c>
      <c r="AJ170" s="97" t="e">
        <f t="shared" si="22"/>
        <v>#DIV/0!</v>
      </c>
      <c r="AK170" s="97" t="e">
        <f t="shared" si="22"/>
        <v>#DIV/0!</v>
      </c>
    </row>
    <row r="171" spans="2:37" s="97" customFormat="1" x14ac:dyDescent="0.25">
      <c r="E171" s="102" t="s">
        <v>314</v>
      </c>
      <c r="H171" s="97" t="s">
        <v>1296</v>
      </c>
      <c r="Q171" s="97">
        <f>(SUM(Datasheet!Q1181,Datasheet!Q1194)*Q$141)/Q665+(SUM(Datasheet!Q1208,Datasheet!Q1221)*Q$146)/Q665+(MAX(Q$149,Q$153)*SUM(Datasheet!Q1024,Datasheet!Q1050,Datasheet!Q1063,Datasheet!Q1076)/SUM(Datasheet!Q$1023,Datasheet!Q$1049,Datasheet!Q$1062,Datasheet!Q$1075)*Q$151)/Q665+(Datasheet!Q1241*Q$163)/Q665+Q$165/12</f>
        <v>805.50007891287453</v>
      </c>
      <c r="R171" s="97">
        <f>(SUM(Datasheet!R1181,Datasheet!R1194)*R$141)/R665+(SUM(Datasheet!R1208,Datasheet!R1221)*R$146)/R665+(MAX(R$149,R$153)*SUM(Datasheet!R1024,Datasheet!R1050,Datasheet!R1063,Datasheet!R1076)/SUM(Datasheet!R$1023,Datasheet!R$1049,Datasheet!R$1062,Datasheet!R$1075)*R$151)/R665+(Datasheet!R1241*R$163)/R665+R$165/12</f>
        <v>769.18802227651076</v>
      </c>
      <c r="S171" s="97">
        <f>(SUM(Datasheet!S1181,Datasheet!S1194)*S$141)/S665+(SUM(Datasheet!S1208,Datasheet!S1221)*S$146)/S665+(MAX(S$149,S$153)*SUM(Datasheet!S1024,Datasheet!S1050,Datasheet!S1063,Datasheet!S1076)/SUM(Datasheet!S$1023,Datasheet!S$1049,Datasheet!S$1062,Datasheet!S$1075)*S$151)/S665+(Datasheet!S1241*S$163)/S665+S$165/12</f>
        <v>746.72767066416509</v>
      </c>
      <c r="T171" s="97">
        <f>(SUM(Datasheet!T1181,Datasheet!T1194)*T$141)/T665+(SUM(Datasheet!T1208,Datasheet!T1221)*T$146)/T665+(MAX(T$149,T$153)*SUM(Datasheet!T1024,Datasheet!T1050,Datasheet!T1063,Datasheet!T1076)/SUM(Datasheet!T$1023,Datasheet!T$1049,Datasheet!T$1062,Datasheet!T$1075)*T$151)/T665+(Datasheet!T1241*T$163)/T665+T$165/12</f>
        <v>754.28263728934007</v>
      </c>
      <c r="U171" s="97">
        <f>(SUM(Datasheet!U1181,Datasheet!U1194)*U$141)/U665+(SUM(Datasheet!U1208,Datasheet!U1221)*U$146)/U665+(MAX(U$149,U$153)*SUM(Datasheet!U1024,Datasheet!U1050,Datasheet!U1063,Datasheet!U1076)/SUM(Datasheet!U$1023,Datasheet!U$1049,Datasheet!U$1062,Datasheet!U$1075)*U$151)/U665+(Datasheet!U1241*U$163)/U665+U$165/12</f>
        <v>766.32983618168407</v>
      </c>
      <c r="V171" s="97">
        <f>(SUM(Datasheet!V1181,Datasheet!V1194)*V$141)/V665+(SUM(Datasheet!V1208,Datasheet!V1221)*V$146)/V665+(MAX(V$149,V$153)*SUM(Datasheet!V1024,Datasheet!V1050,Datasheet!V1063,Datasheet!V1076)/SUM(Datasheet!V$1023,Datasheet!V$1049,Datasheet!V$1062,Datasheet!V$1075)*V$151)/V665+(Datasheet!V1241*V$163)/V665+V$165/12</f>
        <v>802.81600158631454</v>
      </c>
      <c r="W171" s="97">
        <f>(SUM(Datasheet!W1181,Datasheet!W1194)*W$141)/W665+(SUM(Datasheet!W1208,Datasheet!W1221)*W$146)/W665+(MAX(W$149,W$153)*SUM(Datasheet!W1024,Datasheet!W1050,Datasheet!W1063,Datasheet!W1076)/SUM(Datasheet!W$1023,Datasheet!W$1049,Datasheet!W$1062,Datasheet!W$1075)*W$151)/W665+(Datasheet!W1241*W$163)/W665+W$165/12</f>
        <v>828.18465380875648</v>
      </c>
      <c r="X171" s="97">
        <f>(SUM(Datasheet!X1181,Datasheet!X1194)*X$141)/X665+(SUM(Datasheet!X1208,Datasheet!X1221)*X$146)/X665+(MAX(X$149,X$153)*SUM(Datasheet!X1024,Datasheet!X1050,Datasheet!X1063,Datasheet!X1076)/SUM(Datasheet!X$1023,Datasheet!X$1049,Datasheet!X$1062,Datasheet!X$1075)*X$151)/X665+(Datasheet!X1241*X$163)/X665+X$165/12</f>
        <v>896.75722614849894</v>
      </c>
      <c r="Y171" s="97">
        <f>(SUM(Datasheet!Y1181,Datasheet!Y1194)*Y$141)/Y665+(SUM(Datasheet!Y1208,Datasheet!Y1221)*Y$146)/Y665+(MAX(Y$149,Y$153)*SUM(Datasheet!Y1024,Datasheet!Y1050,Datasheet!Y1063,Datasheet!Y1076)/SUM(Datasheet!Y$1023,Datasheet!Y$1049,Datasheet!Y$1062,Datasheet!Y$1075)*Y$151)/Y665+(Datasheet!Y1241*Y$163)/Y665+Y$165/12</f>
        <v>929.82775993846155</v>
      </c>
      <c r="Z171" s="97">
        <f>(SUM(Datasheet!Z1181,Datasheet!Z1194)*Z$141)/Z665+(SUM(Datasheet!Z1208,Datasheet!Z1221)*Z$146)/Z665+(MAX(Z$149,Z$153)*SUM(Datasheet!Z1024,Datasheet!Z1050,Datasheet!Z1063,Datasheet!Z1076)/SUM(Datasheet!Z$1023,Datasheet!Z$1049,Datasheet!Z$1062,Datasheet!Z$1075)*Z$151)/Z665+(Datasheet!Z1241*Z$163)/Z665+Z$165/12</f>
        <v>945.16785680787859</v>
      </c>
      <c r="AA171" s="97" t="e">
        <f>(SUM(Datasheet!AA1181,Datasheet!AA1194)*AA$141)/AA665+(SUM(Datasheet!AA1208,Datasheet!AA1221)*AA$146)/AA665+(MAX(AA$149,AA$153)*SUM(Datasheet!AA1024,Datasheet!AA1050,Datasheet!AA1063,Datasheet!AA1076)/SUM(Datasheet!AA$1023,Datasheet!AA$1049,Datasheet!AA$1062,Datasheet!AA$1075)*AA$151)/AA665+(Datasheet!AA1241*AA$163)/AA665+AA$165/12</f>
        <v>#DIV/0!</v>
      </c>
      <c r="AB171" s="97" t="e">
        <f>(SUM(Datasheet!AB1181,Datasheet!AB1194)*AB$141)/AB665+(SUM(Datasheet!AB1208,Datasheet!AB1221)*AB$146)/AB665+(MAX(AB$149,AB$153)*SUM(Datasheet!AB1024,Datasheet!AB1050,Datasheet!AB1063,Datasheet!AB1076)/SUM(Datasheet!AB$1023,Datasheet!AB$1049,Datasheet!AB$1062,Datasheet!AB$1075)*AB$151)/AB665+(Datasheet!AB1241*AB$163)/AB665+AB$165/12</f>
        <v>#DIV/0!</v>
      </c>
      <c r="AC171" s="97" t="e">
        <f>(SUM(Datasheet!AC1181,Datasheet!AC1194)*AC$141)/AC665+(SUM(Datasheet!AC1208,Datasheet!AC1221)*AC$146)/AC665+(MAX(AC$149,AC$153)*SUM(Datasheet!AC1024,Datasheet!AC1050,Datasheet!AC1063,Datasheet!AC1076)/SUM(Datasheet!AC$1023,Datasheet!AC$1049,Datasheet!AC$1062,Datasheet!AC$1075)*AC$151)/AC665+(Datasheet!AC1241*AC$163)/AC665+AC$165/12</f>
        <v>#DIV/0!</v>
      </c>
      <c r="AD171" s="97" t="e">
        <f>(SUM(Datasheet!AD1181,Datasheet!AD1194)*AD$141)/AD665+(SUM(Datasheet!AD1208,Datasheet!AD1221)*AD$146)/AD665+(MAX(AD$149,AD$153)*SUM(Datasheet!AD1024,Datasheet!AD1050,Datasheet!AD1063,Datasheet!AD1076)/SUM(Datasheet!AD$1023,Datasheet!AD$1049,Datasheet!AD$1062,Datasheet!AD$1075)*AD$151)/AD665+(Datasheet!AD1241*AD$163)/AD665+AD$165/12</f>
        <v>#DIV/0!</v>
      </c>
      <c r="AE171" s="97" t="e">
        <f>(SUM(Datasheet!AE1181,Datasheet!AE1194)*AE$141)/AE665+(SUM(Datasheet!AE1208,Datasheet!AE1221)*AE$146)/AE665+(MAX(AE$149,AE$153)*SUM(Datasheet!AE1024,Datasheet!AE1050,Datasheet!AE1063,Datasheet!AE1076)/SUM(Datasheet!AE$1023,Datasheet!AE$1049,Datasheet!AE$1062,Datasheet!AE$1075)*AE$151)/AE665+(Datasheet!AE1241*AE$163)/AE665+AE$165/12</f>
        <v>#DIV/0!</v>
      </c>
      <c r="AF171" s="97" t="e">
        <f>(SUM(Datasheet!AF1181,Datasheet!AF1194)*AF$141)/AF665+(SUM(Datasheet!AF1208,Datasheet!AF1221)*AF$146)/AF665+(MAX(AF$149,AF$153)*SUM(Datasheet!AF1024,Datasheet!AF1050,Datasheet!AF1063,Datasheet!AF1076)/SUM(Datasheet!AF$1023,Datasheet!AF$1049,Datasheet!AF$1062,Datasheet!AF$1075)*AF$151)/AF665+(Datasheet!AF1241*AF$163)/AF665+AF$165/12</f>
        <v>#DIV/0!</v>
      </c>
      <c r="AG171" s="97" t="e">
        <f>(SUM(Datasheet!AG1181,Datasheet!AG1194)*AG$141)/AG665+(SUM(Datasheet!AG1208,Datasheet!AG1221)*AG$146)/AG665+(MAX(AG$149,AG$153)*SUM(Datasheet!AG1024,Datasheet!AG1050,Datasheet!AG1063,Datasheet!AG1076)/SUM(Datasheet!AG$1023,Datasheet!AG$1049,Datasheet!AG$1062,Datasheet!AG$1075)*AG$151)/AG665+(Datasheet!AG1241*AG$163)/AG665+AG$165/12</f>
        <v>#DIV/0!</v>
      </c>
      <c r="AH171" s="97" t="e">
        <f>(SUM(Datasheet!AH1181,Datasheet!AH1194)*AH$141)/AH665+(SUM(Datasheet!AH1208,Datasheet!AH1221)*AH$146)/AH665+(MAX(AH$149,AH$153)*SUM(Datasheet!AH1024,Datasheet!AH1050,Datasheet!AH1063,Datasheet!AH1076)/SUM(Datasheet!AH$1023,Datasheet!AH$1049,Datasheet!AH$1062,Datasheet!AH$1075)*AH$151)/AH665+(Datasheet!AH1241*AH$163)/AH665+AH$165/12</f>
        <v>#DIV/0!</v>
      </c>
      <c r="AI171" s="97" t="e">
        <f>(SUM(Datasheet!AI1181,Datasheet!AI1194)*AI$141)/AI665+(SUM(Datasheet!AI1208,Datasheet!AI1221)*AI$146)/AI665+(MAX(AI$149,AI$153)*SUM(Datasheet!AI1024,Datasheet!AI1050,Datasheet!AI1063,Datasheet!AI1076)/SUM(Datasheet!AI$1023,Datasheet!AI$1049,Datasheet!AI$1062,Datasheet!AI$1075)*AI$151)/AI665+(Datasheet!AI1241*AI$163)/AI665+AI$165/12</f>
        <v>#DIV/0!</v>
      </c>
      <c r="AJ171" s="97" t="e">
        <f>(SUM(Datasheet!AJ1181,Datasheet!AJ1194)*AJ$141)/AJ665+(SUM(Datasheet!AJ1208,Datasheet!AJ1221)*AJ$146)/AJ665+(MAX(AJ$149,AJ$153)*SUM(Datasheet!AJ1024,Datasheet!AJ1050,Datasheet!AJ1063,Datasheet!AJ1076)/SUM(Datasheet!AJ$1023,Datasheet!AJ$1049,Datasheet!AJ$1062,Datasheet!AJ$1075)*AJ$151)/AJ665+(Datasheet!AJ1241*AJ$163)/AJ665+AJ$165/12</f>
        <v>#DIV/0!</v>
      </c>
      <c r="AK171" s="97" t="e">
        <f>(SUM(Datasheet!AK1181,Datasheet!AK1194)*AK$141)/AK665+(SUM(Datasheet!AK1208,Datasheet!AK1221)*AK$146)/AK665+(MAX(AK$149,AK$153)*SUM(Datasheet!AK1024,Datasheet!AK1050,Datasheet!AK1063,Datasheet!AK1076)/SUM(Datasheet!AK$1023,Datasheet!AK$1049,Datasheet!AK$1062,Datasheet!AK$1075)*AK$151)/AK665+(Datasheet!AK1241*AK$163)/AK665+AK$165/12</f>
        <v>#DIV/0!</v>
      </c>
    </row>
    <row r="172" spans="2:37" s="97" customFormat="1" x14ac:dyDescent="0.25">
      <c r="E172" s="102" t="s">
        <v>315</v>
      </c>
      <c r="H172" s="97" t="s">
        <v>1296</v>
      </c>
      <c r="Q172" s="97">
        <f>(SUM(Datasheet!Q1182,Datasheet!Q1195)*Q$141)/Q666+(SUM(Datasheet!Q1209,Datasheet!Q1222)*Q$146)/Q666+(MAX(Q$149,Q$153)*SUM(Datasheet!Q1025,Datasheet!Q1051,Datasheet!Q1064,Datasheet!Q1077)/SUM(Datasheet!Q$1023,Datasheet!Q$1049,Datasheet!Q$1062,Datasheet!Q$1075)*Q$151)/Q666+(Datasheet!Q1242*Q$163)/Q666+Q$165/12</f>
        <v>805.45010575394383</v>
      </c>
      <c r="R172" s="97">
        <f>(SUM(Datasheet!R1182,Datasheet!R1195)*R$141)/R666+(SUM(Datasheet!R1209,Datasheet!R1222)*R$146)/R666+(MAX(R$149,R$153)*SUM(Datasheet!R1025,Datasheet!R1051,Datasheet!R1064,Datasheet!R1077)/SUM(Datasheet!R$1023,Datasheet!R$1049,Datasheet!R$1062,Datasheet!R$1075)*R$151)/R666+(Datasheet!R1242*R$163)/R666+R$165/12</f>
        <v>769.09643504165751</v>
      </c>
      <c r="S172" s="97">
        <f>(SUM(Datasheet!S1182,Datasheet!S1195)*S$141)/S666+(SUM(Datasheet!S1209,Datasheet!S1222)*S$146)/S666+(MAX(S$149,S$153)*SUM(Datasheet!S1025,Datasheet!S1051,Datasheet!S1064,Datasheet!S1077)/SUM(Datasheet!S$1023,Datasheet!S$1049,Datasheet!S$1062,Datasheet!S$1075)*S$151)/S666+(Datasheet!S1242*S$163)/S666+S$165/12</f>
        <v>746.63569174685267</v>
      </c>
      <c r="T172" s="97">
        <f>(SUM(Datasheet!T1182,Datasheet!T1195)*T$141)/T666+(SUM(Datasheet!T1209,Datasheet!T1222)*T$146)/T666+(MAX(T$149,T$153)*SUM(Datasheet!T1025,Datasheet!T1051,Datasheet!T1064,Datasheet!T1077)/SUM(Datasheet!T$1023,Datasheet!T$1049,Datasheet!T$1062,Datasheet!T$1075)*T$151)/T666+(Datasheet!T1242*T$163)/T666+T$165/12</f>
        <v>754.1636302500624</v>
      </c>
      <c r="U172" s="97">
        <f>(SUM(Datasheet!U1182,Datasheet!U1195)*U$141)/U666+(SUM(Datasheet!U1209,Datasheet!U1222)*U$146)/U666+(MAX(U$149,U$153)*SUM(Datasheet!U1025,Datasheet!U1051,Datasheet!U1064,Datasheet!U1077)/SUM(Datasheet!U$1023,Datasheet!U$1049,Datasheet!U$1062,Datasheet!U$1075)*U$151)/U666+(Datasheet!U1242*U$163)/U666+U$165/12</f>
        <v>766.27868301942556</v>
      </c>
      <c r="V172" s="97">
        <f>(SUM(Datasheet!V1182,Datasheet!V1195)*V$141)/V666+(SUM(Datasheet!V1209,Datasheet!V1222)*V$146)/V666+(MAX(V$149,V$153)*SUM(Datasheet!V1025,Datasheet!V1051,Datasheet!V1064,Datasheet!V1077)/SUM(Datasheet!V$1023,Datasheet!V$1049,Datasheet!V$1062,Datasheet!V$1075)*V$151)/V666+(Datasheet!V1242*V$163)/V666+V$165/12</f>
        <v>802.73400310117233</v>
      </c>
      <c r="W172" s="97">
        <f>(SUM(Datasheet!W1182,Datasheet!W1195)*W$141)/W666+(SUM(Datasheet!W1209,Datasheet!W1222)*W$146)/W666+(MAX(W$149,W$153)*SUM(Datasheet!W1025,Datasheet!W1051,Datasheet!W1064,Datasheet!W1077)/SUM(Datasheet!W$1023,Datasheet!W$1049,Datasheet!W$1062,Datasheet!W$1075)*W$151)/W666+(Datasheet!W1242*W$163)/W666+W$165/12</f>
        <v>828.09977015563322</v>
      </c>
      <c r="X172" s="97">
        <f>(SUM(Datasheet!X1182,Datasheet!X1195)*X$141)/X666+(SUM(Datasheet!X1209,Datasheet!X1222)*X$146)/X666+(MAX(X$149,X$153)*SUM(Datasheet!X1025,Datasheet!X1051,Datasheet!X1064,Datasheet!X1077)/SUM(Datasheet!X$1023,Datasheet!X$1049,Datasheet!X$1062,Datasheet!X$1075)*X$151)/X666+(Datasheet!X1242*X$163)/X666+X$165/12</f>
        <v>896.65477802904354</v>
      </c>
      <c r="Y172" s="97">
        <f>(SUM(Datasheet!Y1182,Datasheet!Y1195)*Y$141)/Y666+(SUM(Datasheet!Y1209,Datasheet!Y1222)*Y$146)/Y666+(MAX(Y$149,Y$153)*SUM(Datasheet!Y1025,Datasheet!Y1051,Datasheet!Y1064,Datasheet!Y1077)/SUM(Datasheet!Y$1023,Datasheet!Y$1049,Datasheet!Y$1062,Datasheet!Y$1075)*Y$151)/Y666+(Datasheet!Y1242*Y$163)/Y666+Y$165/12</f>
        <v>929.76038529221842</v>
      </c>
      <c r="Z172" s="97">
        <f>(SUM(Datasheet!Z1182,Datasheet!Z1195)*Z$141)/Z666+(SUM(Datasheet!Z1209,Datasheet!Z1222)*Z$146)/Z666+(MAX(Z$149,Z$153)*SUM(Datasheet!Z1025,Datasheet!Z1051,Datasheet!Z1064,Datasheet!Z1077)/SUM(Datasheet!Z$1023,Datasheet!Z$1049,Datasheet!Z$1062,Datasheet!Z$1075)*Z$151)/Z666+(Datasheet!Z1242*Z$163)/Z666+Z$165/12</f>
        <v>945.06011546872321</v>
      </c>
      <c r="AA172" s="97" t="e">
        <f>(SUM(Datasheet!AA1182,Datasheet!AA1195)*AA$141)/AA666+(SUM(Datasheet!AA1209,Datasheet!AA1222)*AA$146)/AA666+(MAX(AA$149,AA$153)*SUM(Datasheet!AA1025,Datasheet!AA1051,Datasheet!AA1064,Datasheet!AA1077)/SUM(Datasheet!AA$1023,Datasheet!AA$1049,Datasheet!AA$1062,Datasheet!AA$1075)*AA$151)/AA666+(Datasheet!AA1242*AA$163)/AA666+AA$165/12</f>
        <v>#DIV/0!</v>
      </c>
      <c r="AB172" s="97" t="e">
        <f>(SUM(Datasheet!AB1182,Datasheet!AB1195)*AB$141)/AB666+(SUM(Datasheet!AB1209,Datasheet!AB1222)*AB$146)/AB666+(MAX(AB$149,AB$153)*SUM(Datasheet!AB1025,Datasheet!AB1051,Datasheet!AB1064,Datasheet!AB1077)/SUM(Datasheet!AB$1023,Datasheet!AB$1049,Datasheet!AB$1062,Datasheet!AB$1075)*AB$151)/AB666+(Datasheet!AB1242*AB$163)/AB666+AB$165/12</f>
        <v>#DIV/0!</v>
      </c>
      <c r="AC172" s="97" t="e">
        <f>(SUM(Datasheet!AC1182,Datasheet!AC1195)*AC$141)/AC666+(SUM(Datasheet!AC1209,Datasheet!AC1222)*AC$146)/AC666+(MAX(AC$149,AC$153)*SUM(Datasheet!AC1025,Datasheet!AC1051,Datasheet!AC1064,Datasheet!AC1077)/SUM(Datasheet!AC$1023,Datasheet!AC$1049,Datasheet!AC$1062,Datasheet!AC$1075)*AC$151)/AC666+(Datasheet!AC1242*AC$163)/AC666+AC$165/12</f>
        <v>#DIV/0!</v>
      </c>
      <c r="AD172" s="97" t="e">
        <f>(SUM(Datasheet!AD1182,Datasheet!AD1195)*AD$141)/AD666+(SUM(Datasheet!AD1209,Datasheet!AD1222)*AD$146)/AD666+(MAX(AD$149,AD$153)*SUM(Datasheet!AD1025,Datasheet!AD1051,Datasheet!AD1064,Datasheet!AD1077)/SUM(Datasheet!AD$1023,Datasheet!AD$1049,Datasheet!AD$1062,Datasheet!AD$1075)*AD$151)/AD666+(Datasheet!AD1242*AD$163)/AD666+AD$165/12</f>
        <v>#DIV/0!</v>
      </c>
      <c r="AE172" s="97" t="e">
        <f>(SUM(Datasheet!AE1182,Datasheet!AE1195)*AE$141)/AE666+(SUM(Datasheet!AE1209,Datasheet!AE1222)*AE$146)/AE666+(MAX(AE$149,AE$153)*SUM(Datasheet!AE1025,Datasheet!AE1051,Datasheet!AE1064,Datasheet!AE1077)/SUM(Datasheet!AE$1023,Datasheet!AE$1049,Datasheet!AE$1062,Datasheet!AE$1075)*AE$151)/AE666+(Datasheet!AE1242*AE$163)/AE666+AE$165/12</f>
        <v>#DIV/0!</v>
      </c>
      <c r="AF172" s="97" t="e">
        <f>(SUM(Datasheet!AF1182,Datasheet!AF1195)*AF$141)/AF666+(SUM(Datasheet!AF1209,Datasheet!AF1222)*AF$146)/AF666+(MAX(AF$149,AF$153)*SUM(Datasheet!AF1025,Datasheet!AF1051,Datasheet!AF1064,Datasheet!AF1077)/SUM(Datasheet!AF$1023,Datasheet!AF$1049,Datasheet!AF$1062,Datasheet!AF$1075)*AF$151)/AF666+(Datasheet!AF1242*AF$163)/AF666+AF$165/12</f>
        <v>#DIV/0!</v>
      </c>
      <c r="AG172" s="97" t="e">
        <f>(SUM(Datasheet!AG1182,Datasheet!AG1195)*AG$141)/AG666+(SUM(Datasheet!AG1209,Datasheet!AG1222)*AG$146)/AG666+(MAX(AG$149,AG$153)*SUM(Datasheet!AG1025,Datasheet!AG1051,Datasheet!AG1064,Datasheet!AG1077)/SUM(Datasheet!AG$1023,Datasheet!AG$1049,Datasheet!AG$1062,Datasheet!AG$1075)*AG$151)/AG666+(Datasheet!AG1242*AG$163)/AG666+AG$165/12</f>
        <v>#DIV/0!</v>
      </c>
      <c r="AH172" s="97" t="e">
        <f>(SUM(Datasheet!AH1182,Datasheet!AH1195)*AH$141)/AH666+(SUM(Datasheet!AH1209,Datasheet!AH1222)*AH$146)/AH666+(MAX(AH$149,AH$153)*SUM(Datasheet!AH1025,Datasheet!AH1051,Datasheet!AH1064,Datasheet!AH1077)/SUM(Datasheet!AH$1023,Datasheet!AH$1049,Datasheet!AH$1062,Datasheet!AH$1075)*AH$151)/AH666+(Datasheet!AH1242*AH$163)/AH666+AH$165/12</f>
        <v>#DIV/0!</v>
      </c>
      <c r="AI172" s="97" t="e">
        <f>(SUM(Datasheet!AI1182,Datasheet!AI1195)*AI$141)/AI666+(SUM(Datasheet!AI1209,Datasheet!AI1222)*AI$146)/AI666+(MAX(AI$149,AI$153)*SUM(Datasheet!AI1025,Datasheet!AI1051,Datasheet!AI1064,Datasheet!AI1077)/SUM(Datasheet!AI$1023,Datasheet!AI$1049,Datasheet!AI$1062,Datasheet!AI$1075)*AI$151)/AI666+(Datasheet!AI1242*AI$163)/AI666+AI$165/12</f>
        <v>#DIV/0!</v>
      </c>
      <c r="AJ172" s="97" t="e">
        <f>(SUM(Datasheet!AJ1182,Datasheet!AJ1195)*AJ$141)/AJ666+(SUM(Datasheet!AJ1209,Datasheet!AJ1222)*AJ$146)/AJ666+(MAX(AJ$149,AJ$153)*SUM(Datasheet!AJ1025,Datasheet!AJ1051,Datasheet!AJ1064,Datasheet!AJ1077)/SUM(Datasheet!AJ$1023,Datasheet!AJ$1049,Datasheet!AJ$1062,Datasheet!AJ$1075)*AJ$151)/AJ666+(Datasheet!AJ1242*AJ$163)/AJ666+AJ$165/12</f>
        <v>#DIV/0!</v>
      </c>
      <c r="AK172" s="97" t="e">
        <f>(SUM(Datasheet!AK1182,Datasheet!AK1195)*AK$141)/AK666+(SUM(Datasheet!AK1209,Datasheet!AK1222)*AK$146)/AK666+(MAX(AK$149,AK$153)*SUM(Datasheet!AK1025,Datasheet!AK1051,Datasheet!AK1064,Datasheet!AK1077)/SUM(Datasheet!AK$1023,Datasheet!AK$1049,Datasheet!AK$1062,Datasheet!AK$1075)*AK$151)/AK666+(Datasheet!AK1242*AK$163)/AK666+AK$165/12</f>
        <v>#DIV/0!</v>
      </c>
    </row>
    <row r="173" spans="2:37" s="97" customFormat="1" x14ac:dyDescent="0.25">
      <c r="E173" s="102" t="s">
        <v>316</v>
      </c>
      <c r="H173" s="97" t="s">
        <v>1296</v>
      </c>
      <c r="Q173" s="97">
        <f>(SUM(Datasheet!Q1183,Datasheet!Q1196)*Q$141)/Q667+(SUM(Datasheet!Q1210,Datasheet!Q1223)*Q$146)/Q667+(MAX(Q$149,Q$153)*SUM(Datasheet!Q1026,Datasheet!Q1052,Datasheet!Q1065,Datasheet!Q1078)/SUM(Datasheet!Q$1023,Datasheet!Q$1049,Datasheet!Q$1062,Datasheet!Q$1075)*Q$151)/Q667+(Datasheet!Q1243*Q$163)/Q667+Q$165/12</f>
        <v>805.46284084251818</v>
      </c>
      <c r="R173" s="97">
        <f>(SUM(Datasheet!R1183,Datasheet!R1196)*R$141)/R667+(SUM(Datasheet!R1210,Datasheet!R1223)*R$146)/R667+(MAX(R$149,R$153)*SUM(Datasheet!R1026,Datasheet!R1052,Datasheet!R1065,Datasheet!R1078)/SUM(Datasheet!R$1023,Datasheet!R$1049,Datasheet!R$1062,Datasheet!R$1075)*R$151)/R667+(Datasheet!R1243*R$163)/R667+R$165/12</f>
        <v>769.12533877510054</v>
      </c>
      <c r="S173" s="97">
        <f>(SUM(Datasheet!S1183,Datasheet!S1196)*S$141)/S667+(SUM(Datasheet!S1210,Datasheet!S1223)*S$146)/S667+(MAX(S$149,S$153)*SUM(Datasheet!S1026,Datasheet!S1052,Datasheet!S1065,Datasheet!S1078)/SUM(Datasheet!S$1023,Datasheet!S$1049,Datasheet!S$1062,Datasheet!S$1075)*S$151)/S667+(Datasheet!S1243*S$163)/S667+S$165/12</f>
        <v>746.69847172648838</v>
      </c>
      <c r="T173" s="97">
        <f>(SUM(Datasheet!T1183,Datasheet!T1196)*T$141)/T667+(SUM(Datasheet!T1210,Datasheet!T1223)*T$146)/T667+(MAX(T$149,T$153)*SUM(Datasheet!T1026,Datasheet!T1052,Datasheet!T1065,Datasheet!T1078)/SUM(Datasheet!T$1023,Datasheet!T$1049,Datasheet!T$1062,Datasheet!T$1075)*T$151)/T667+(Datasheet!T1243*T$163)/T667+T$165/12</f>
        <v>754.19709929808425</v>
      </c>
      <c r="U173" s="97">
        <f>(SUM(Datasheet!U1183,Datasheet!U1196)*U$141)/U667+(SUM(Datasheet!U1210,Datasheet!U1223)*U$146)/U667+(MAX(U$149,U$153)*SUM(Datasheet!U1026,Datasheet!U1052,Datasheet!U1065,Datasheet!U1078)/SUM(Datasheet!U$1023,Datasheet!U$1049,Datasheet!U$1062,Datasheet!U$1075)*U$151)/U667+(Datasheet!U1243*U$163)/U667+U$165/12</f>
        <v>766.26883697472579</v>
      </c>
      <c r="V173" s="97">
        <f>(SUM(Datasheet!V1183,Datasheet!V1196)*V$141)/V667+(SUM(Datasheet!V1210,Datasheet!V1223)*V$146)/V667+(MAX(V$149,V$153)*SUM(Datasheet!V1026,Datasheet!V1052,Datasheet!V1065,Datasheet!V1078)/SUM(Datasheet!V$1023,Datasheet!V$1049,Datasheet!V$1062,Datasheet!V$1075)*V$151)/V667+(Datasheet!V1243*V$163)/V667+V$165/12</f>
        <v>802.78747386599514</v>
      </c>
      <c r="W173" s="97">
        <f>(SUM(Datasheet!W1183,Datasheet!W1196)*W$141)/W667+(SUM(Datasheet!W1210,Datasheet!W1223)*W$146)/W667+(MAX(W$149,W$153)*SUM(Datasheet!W1026,Datasheet!W1052,Datasheet!W1065,Datasheet!W1078)/SUM(Datasheet!W$1023,Datasheet!W$1049,Datasheet!W$1062,Datasheet!W$1075)*W$151)/W667+(Datasheet!W1243*W$163)/W667+W$165/12</f>
        <v>828.08234849795053</v>
      </c>
      <c r="X173" s="97">
        <f>(SUM(Datasheet!X1183,Datasheet!X1196)*X$141)/X667+(SUM(Datasheet!X1210,Datasheet!X1223)*X$146)/X667+(MAX(X$149,X$153)*SUM(Datasheet!X1026,Datasheet!X1052,Datasheet!X1065,Datasheet!X1078)/SUM(Datasheet!X$1023,Datasheet!X$1049,Datasheet!X$1062,Datasheet!X$1075)*X$151)/X667+(Datasheet!X1243*X$163)/X667+X$165/12</f>
        <v>896.67573147544965</v>
      </c>
      <c r="Y173" s="97">
        <f>(SUM(Datasheet!Y1183,Datasheet!Y1196)*Y$141)/Y667+(SUM(Datasheet!Y1210,Datasheet!Y1223)*Y$146)/Y667+(MAX(Y$149,Y$153)*SUM(Datasheet!Y1026,Datasheet!Y1052,Datasheet!Y1065,Datasheet!Y1078)/SUM(Datasheet!Y$1023,Datasheet!Y$1049,Datasheet!Y$1062,Datasheet!Y$1075)*Y$151)/Y667+(Datasheet!Y1243*Y$163)/Y667+Y$165/12</f>
        <v>929.83703619275832</v>
      </c>
      <c r="Z173" s="97">
        <f>(SUM(Datasheet!Z1183,Datasheet!Z1196)*Z$141)/Z667+(SUM(Datasheet!Z1210,Datasheet!Z1223)*Z$146)/Z667+(MAX(Z$149,Z$153)*SUM(Datasheet!Z1026,Datasheet!Z1052,Datasheet!Z1065,Datasheet!Z1078)/SUM(Datasheet!Z$1023,Datasheet!Z$1049,Datasheet!Z$1062,Datasheet!Z$1075)*Z$151)/Z667+(Datasheet!Z1243*Z$163)/Z667+Z$165/12</f>
        <v>945.17017726849463</v>
      </c>
      <c r="AA173" s="97" t="e">
        <f>(SUM(Datasheet!AA1183,Datasheet!AA1196)*AA$141)/AA667+(SUM(Datasheet!AA1210,Datasheet!AA1223)*AA$146)/AA667+(MAX(AA$149,AA$153)*SUM(Datasheet!AA1026,Datasheet!AA1052,Datasheet!AA1065,Datasheet!AA1078)/SUM(Datasheet!AA$1023,Datasheet!AA$1049,Datasheet!AA$1062,Datasheet!AA$1075)*AA$151)/AA667+(Datasheet!AA1243*AA$163)/AA667+AA$165/12</f>
        <v>#DIV/0!</v>
      </c>
      <c r="AB173" s="97" t="e">
        <f>(SUM(Datasheet!AB1183,Datasheet!AB1196)*AB$141)/AB667+(SUM(Datasheet!AB1210,Datasheet!AB1223)*AB$146)/AB667+(MAX(AB$149,AB$153)*SUM(Datasheet!AB1026,Datasheet!AB1052,Datasheet!AB1065,Datasheet!AB1078)/SUM(Datasheet!AB$1023,Datasheet!AB$1049,Datasheet!AB$1062,Datasheet!AB$1075)*AB$151)/AB667+(Datasheet!AB1243*AB$163)/AB667+AB$165/12</f>
        <v>#DIV/0!</v>
      </c>
      <c r="AC173" s="97" t="e">
        <f>(SUM(Datasheet!AC1183,Datasheet!AC1196)*AC$141)/AC667+(SUM(Datasheet!AC1210,Datasheet!AC1223)*AC$146)/AC667+(MAX(AC$149,AC$153)*SUM(Datasheet!AC1026,Datasheet!AC1052,Datasheet!AC1065,Datasheet!AC1078)/SUM(Datasheet!AC$1023,Datasheet!AC$1049,Datasheet!AC$1062,Datasheet!AC$1075)*AC$151)/AC667+(Datasheet!AC1243*AC$163)/AC667+AC$165/12</f>
        <v>#DIV/0!</v>
      </c>
      <c r="AD173" s="97" t="e">
        <f>(SUM(Datasheet!AD1183,Datasheet!AD1196)*AD$141)/AD667+(SUM(Datasheet!AD1210,Datasheet!AD1223)*AD$146)/AD667+(MAX(AD$149,AD$153)*SUM(Datasheet!AD1026,Datasheet!AD1052,Datasheet!AD1065,Datasheet!AD1078)/SUM(Datasheet!AD$1023,Datasheet!AD$1049,Datasheet!AD$1062,Datasheet!AD$1075)*AD$151)/AD667+(Datasheet!AD1243*AD$163)/AD667+AD$165/12</f>
        <v>#DIV/0!</v>
      </c>
      <c r="AE173" s="97" t="e">
        <f>(SUM(Datasheet!AE1183,Datasheet!AE1196)*AE$141)/AE667+(SUM(Datasheet!AE1210,Datasheet!AE1223)*AE$146)/AE667+(MAX(AE$149,AE$153)*SUM(Datasheet!AE1026,Datasheet!AE1052,Datasheet!AE1065,Datasheet!AE1078)/SUM(Datasheet!AE$1023,Datasheet!AE$1049,Datasheet!AE$1062,Datasheet!AE$1075)*AE$151)/AE667+(Datasheet!AE1243*AE$163)/AE667+AE$165/12</f>
        <v>#DIV/0!</v>
      </c>
      <c r="AF173" s="97" t="e">
        <f>(SUM(Datasheet!AF1183,Datasheet!AF1196)*AF$141)/AF667+(SUM(Datasheet!AF1210,Datasheet!AF1223)*AF$146)/AF667+(MAX(AF$149,AF$153)*SUM(Datasheet!AF1026,Datasheet!AF1052,Datasheet!AF1065,Datasheet!AF1078)/SUM(Datasheet!AF$1023,Datasheet!AF$1049,Datasheet!AF$1062,Datasheet!AF$1075)*AF$151)/AF667+(Datasheet!AF1243*AF$163)/AF667+AF$165/12</f>
        <v>#DIV/0!</v>
      </c>
      <c r="AG173" s="97" t="e">
        <f>(SUM(Datasheet!AG1183,Datasheet!AG1196)*AG$141)/AG667+(SUM(Datasheet!AG1210,Datasheet!AG1223)*AG$146)/AG667+(MAX(AG$149,AG$153)*SUM(Datasheet!AG1026,Datasheet!AG1052,Datasheet!AG1065,Datasheet!AG1078)/SUM(Datasheet!AG$1023,Datasheet!AG$1049,Datasheet!AG$1062,Datasheet!AG$1075)*AG$151)/AG667+(Datasheet!AG1243*AG$163)/AG667+AG$165/12</f>
        <v>#DIV/0!</v>
      </c>
      <c r="AH173" s="97" t="e">
        <f>(SUM(Datasheet!AH1183,Datasheet!AH1196)*AH$141)/AH667+(SUM(Datasheet!AH1210,Datasheet!AH1223)*AH$146)/AH667+(MAX(AH$149,AH$153)*SUM(Datasheet!AH1026,Datasheet!AH1052,Datasheet!AH1065,Datasheet!AH1078)/SUM(Datasheet!AH$1023,Datasheet!AH$1049,Datasheet!AH$1062,Datasheet!AH$1075)*AH$151)/AH667+(Datasheet!AH1243*AH$163)/AH667+AH$165/12</f>
        <v>#DIV/0!</v>
      </c>
      <c r="AI173" s="97" t="e">
        <f>(SUM(Datasheet!AI1183,Datasheet!AI1196)*AI$141)/AI667+(SUM(Datasheet!AI1210,Datasheet!AI1223)*AI$146)/AI667+(MAX(AI$149,AI$153)*SUM(Datasheet!AI1026,Datasheet!AI1052,Datasheet!AI1065,Datasheet!AI1078)/SUM(Datasheet!AI$1023,Datasheet!AI$1049,Datasheet!AI$1062,Datasheet!AI$1075)*AI$151)/AI667+(Datasheet!AI1243*AI$163)/AI667+AI$165/12</f>
        <v>#DIV/0!</v>
      </c>
      <c r="AJ173" s="97" t="e">
        <f>(SUM(Datasheet!AJ1183,Datasheet!AJ1196)*AJ$141)/AJ667+(SUM(Datasheet!AJ1210,Datasheet!AJ1223)*AJ$146)/AJ667+(MAX(AJ$149,AJ$153)*SUM(Datasheet!AJ1026,Datasheet!AJ1052,Datasheet!AJ1065,Datasheet!AJ1078)/SUM(Datasheet!AJ$1023,Datasheet!AJ$1049,Datasheet!AJ$1062,Datasheet!AJ$1075)*AJ$151)/AJ667+(Datasheet!AJ1243*AJ$163)/AJ667+AJ$165/12</f>
        <v>#DIV/0!</v>
      </c>
      <c r="AK173" s="97" t="e">
        <f>(SUM(Datasheet!AK1183,Datasheet!AK1196)*AK$141)/AK667+(SUM(Datasheet!AK1210,Datasheet!AK1223)*AK$146)/AK667+(MAX(AK$149,AK$153)*SUM(Datasheet!AK1026,Datasheet!AK1052,Datasheet!AK1065,Datasheet!AK1078)/SUM(Datasheet!AK$1023,Datasheet!AK$1049,Datasheet!AK$1062,Datasheet!AK$1075)*AK$151)/AK667+(Datasheet!AK1243*AK$163)/AK667+AK$165/12</f>
        <v>#DIV/0!</v>
      </c>
    </row>
    <row r="174" spans="2:37" s="97" customFormat="1" x14ac:dyDescent="0.25">
      <c r="E174" s="102" t="s">
        <v>317</v>
      </c>
      <c r="H174" s="97" t="s">
        <v>1296</v>
      </c>
      <c r="Q174" s="97">
        <f>(SUM(Datasheet!Q1184,Datasheet!Q1197)*Q$141)/Q668+(SUM(Datasheet!Q1211,Datasheet!Q1224)*Q$146)/Q668+(MAX(Q$149,Q$153)*SUM(Datasheet!Q1027,Datasheet!Q1053,Datasheet!Q1066,Datasheet!Q1079)/SUM(Datasheet!Q$1023,Datasheet!Q$1049,Datasheet!Q$1062,Datasheet!Q$1075)*Q$151)/Q668+(Datasheet!Q1244*Q$163)/Q668+Q$165/12</f>
        <v>805.42397175222061</v>
      </c>
      <c r="R174" s="97">
        <f>(SUM(Datasheet!R1184,Datasheet!R1197)*R$141)/R668+(SUM(Datasheet!R1211,Datasheet!R1224)*R$146)/R668+(MAX(R$149,R$153)*SUM(Datasheet!R1027,Datasheet!R1053,Datasheet!R1066,Datasheet!R1079)/SUM(Datasheet!R$1023,Datasheet!R$1049,Datasheet!R$1062,Datasheet!R$1075)*R$151)/R668+(Datasheet!R1244*R$163)/R668+R$165/12</f>
        <v>769.08591120187441</v>
      </c>
      <c r="S174" s="97">
        <f>(SUM(Datasheet!S1184,Datasheet!S1197)*S$141)/S668+(SUM(Datasheet!S1211,Datasheet!S1224)*S$146)/S668+(MAX(S$149,S$153)*SUM(Datasheet!S1027,Datasheet!S1053,Datasheet!S1066,Datasheet!S1079)/SUM(Datasheet!S$1023,Datasheet!S$1049,Datasheet!S$1062,Datasheet!S$1075)*S$151)/S668+(Datasheet!S1244*S$163)/S668+S$165/12</f>
        <v>746.63376057221399</v>
      </c>
      <c r="T174" s="97">
        <f>(SUM(Datasheet!T1184,Datasheet!T1197)*T$141)/T668+(SUM(Datasheet!T1211,Datasheet!T1224)*T$146)/T668+(MAX(T$149,T$153)*SUM(Datasheet!T1027,Datasheet!T1053,Datasheet!T1066,Datasheet!T1079)/SUM(Datasheet!T$1023,Datasheet!T$1049,Datasheet!T$1062,Datasheet!T$1075)*T$151)/T668+(Datasheet!T1244*T$163)/T668+T$165/12</f>
        <v>754.17443175880044</v>
      </c>
      <c r="U174" s="97">
        <f>(SUM(Datasheet!U1184,Datasheet!U1197)*U$141)/U668+(SUM(Datasheet!U1211,Datasheet!U1224)*U$146)/U668+(MAX(U$149,U$153)*SUM(Datasheet!U1027,Datasheet!U1053,Datasheet!U1066,Datasheet!U1079)/SUM(Datasheet!U$1023,Datasheet!U$1049,Datasheet!U$1062,Datasheet!U$1075)*U$151)/U668+(Datasheet!U1244*U$163)/U668+U$165/12</f>
        <v>766.28085442678309</v>
      </c>
      <c r="V174" s="97">
        <f>(SUM(Datasheet!V1184,Datasheet!V1197)*V$141)/V668+(SUM(Datasheet!V1211,Datasheet!V1224)*V$146)/V668+(MAX(V$149,V$153)*SUM(Datasheet!V1027,Datasheet!V1053,Datasheet!V1066,Datasheet!V1079)/SUM(Datasheet!V$1023,Datasheet!V$1049,Datasheet!V$1062,Datasheet!V$1075)*V$151)/V668+(Datasheet!V1244*V$163)/V668+V$165/12</f>
        <v>802.72457234374258</v>
      </c>
      <c r="W174" s="97">
        <f>(SUM(Datasheet!W1184,Datasheet!W1197)*W$141)/W668+(SUM(Datasheet!W1211,Datasheet!W1224)*W$146)/W668+(MAX(W$149,W$153)*SUM(Datasheet!W1027,Datasheet!W1053,Datasheet!W1066,Datasheet!W1079)/SUM(Datasheet!W$1023,Datasheet!W$1049,Datasheet!W$1062,Datasheet!W$1075)*W$151)/W668+(Datasheet!W1244*W$163)/W668+W$165/12</f>
        <v>828.07511864026128</v>
      </c>
      <c r="X174" s="97">
        <f>(SUM(Datasheet!X1184,Datasheet!X1197)*X$141)/X668+(SUM(Datasheet!X1211,Datasheet!X1224)*X$146)/X668+(MAX(X$149,X$153)*SUM(Datasheet!X1027,Datasheet!X1053,Datasheet!X1066,Datasheet!X1079)/SUM(Datasheet!X$1023,Datasheet!X$1049,Datasheet!X$1062,Datasheet!X$1075)*X$151)/X668+(Datasheet!X1244*X$163)/X668+X$165/12</f>
        <v>896.6730747619464</v>
      </c>
      <c r="Y174" s="97">
        <f>(SUM(Datasheet!Y1184,Datasheet!Y1197)*Y$141)/Y668+(SUM(Datasheet!Y1211,Datasheet!Y1224)*Y$146)/Y668+(MAX(Y$149,Y$153)*SUM(Datasheet!Y1027,Datasheet!Y1053,Datasheet!Y1066,Datasheet!Y1079)/SUM(Datasheet!Y$1023,Datasheet!Y$1049,Datasheet!Y$1062,Datasheet!Y$1075)*Y$151)/Y668+(Datasheet!Y1244*Y$163)/Y668+Y$165/12</f>
        <v>929.7914013967287</v>
      </c>
      <c r="Z174" s="97">
        <f>(SUM(Datasheet!Z1184,Datasheet!Z1197)*Z$141)/Z668+(SUM(Datasheet!Z1211,Datasheet!Z1224)*Z$146)/Z668+(MAX(Z$149,Z$153)*SUM(Datasheet!Z1027,Datasheet!Z1053,Datasheet!Z1066,Datasheet!Z1079)/SUM(Datasheet!Z$1023,Datasheet!Z$1049,Datasheet!Z$1062,Datasheet!Z$1075)*Z$151)/Z668+(Datasheet!Z1244*Z$163)/Z668+Z$165/12</f>
        <v>945.09581200730997</v>
      </c>
      <c r="AA174" s="97" t="e">
        <f>(SUM(Datasheet!AA1184,Datasheet!AA1197)*AA$141)/AA668+(SUM(Datasheet!AA1211,Datasheet!AA1224)*AA$146)/AA668+(MAX(AA$149,AA$153)*SUM(Datasheet!AA1027,Datasheet!AA1053,Datasheet!AA1066,Datasheet!AA1079)/SUM(Datasheet!AA$1023,Datasheet!AA$1049,Datasheet!AA$1062,Datasheet!AA$1075)*AA$151)/AA668+(Datasheet!AA1244*AA$163)/AA668+AA$165/12</f>
        <v>#DIV/0!</v>
      </c>
      <c r="AB174" s="97" t="e">
        <f>(SUM(Datasheet!AB1184,Datasheet!AB1197)*AB$141)/AB668+(SUM(Datasheet!AB1211,Datasheet!AB1224)*AB$146)/AB668+(MAX(AB$149,AB$153)*SUM(Datasheet!AB1027,Datasheet!AB1053,Datasheet!AB1066,Datasheet!AB1079)/SUM(Datasheet!AB$1023,Datasheet!AB$1049,Datasheet!AB$1062,Datasheet!AB$1075)*AB$151)/AB668+(Datasheet!AB1244*AB$163)/AB668+AB$165/12</f>
        <v>#DIV/0!</v>
      </c>
      <c r="AC174" s="97" t="e">
        <f>(SUM(Datasheet!AC1184,Datasheet!AC1197)*AC$141)/AC668+(SUM(Datasheet!AC1211,Datasheet!AC1224)*AC$146)/AC668+(MAX(AC$149,AC$153)*SUM(Datasheet!AC1027,Datasheet!AC1053,Datasheet!AC1066,Datasheet!AC1079)/SUM(Datasheet!AC$1023,Datasheet!AC$1049,Datasheet!AC$1062,Datasheet!AC$1075)*AC$151)/AC668+(Datasheet!AC1244*AC$163)/AC668+AC$165/12</f>
        <v>#DIV/0!</v>
      </c>
      <c r="AD174" s="97" t="e">
        <f>(SUM(Datasheet!AD1184,Datasheet!AD1197)*AD$141)/AD668+(SUM(Datasheet!AD1211,Datasheet!AD1224)*AD$146)/AD668+(MAX(AD$149,AD$153)*SUM(Datasheet!AD1027,Datasheet!AD1053,Datasheet!AD1066,Datasheet!AD1079)/SUM(Datasheet!AD$1023,Datasheet!AD$1049,Datasheet!AD$1062,Datasheet!AD$1075)*AD$151)/AD668+(Datasheet!AD1244*AD$163)/AD668+AD$165/12</f>
        <v>#DIV/0!</v>
      </c>
      <c r="AE174" s="97" t="e">
        <f>(SUM(Datasheet!AE1184,Datasheet!AE1197)*AE$141)/AE668+(SUM(Datasheet!AE1211,Datasheet!AE1224)*AE$146)/AE668+(MAX(AE$149,AE$153)*SUM(Datasheet!AE1027,Datasheet!AE1053,Datasheet!AE1066,Datasheet!AE1079)/SUM(Datasheet!AE$1023,Datasheet!AE$1049,Datasheet!AE$1062,Datasheet!AE$1075)*AE$151)/AE668+(Datasheet!AE1244*AE$163)/AE668+AE$165/12</f>
        <v>#DIV/0!</v>
      </c>
      <c r="AF174" s="97" t="e">
        <f>(SUM(Datasheet!AF1184,Datasheet!AF1197)*AF$141)/AF668+(SUM(Datasheet!AF1211,Datasheet!AF1224)*AF$146)/AF668+(MAX(AF$149,AF$153)*SUM(Datasheet!AF1027,Datasheet!AF1053,Datasheet!AF1066,Datasheet!AF1079)/SUM(Datasheet!AF$1023,Datasheet!AF$1049,Datasheet!AF$1062,Datasheet!AF$1075)*AF$151)/AF668+(Datasheet!AF1244*AF$163)/AF668+AF$165/12</f>
        <v>#DIV/0!</v>
      </c>
      <c r="AG174" s="97" t="e">
        <f>(SUM(Datasheet!AG1184,Datasheet!AG1197)*AG$141)/AG668+(SUM(Datasheet!AG1211,Datasheet!AG1224)*AG$146)/AG668+(MAX(AG$149,AG$153)*SUM(Datasheet!AG1027,Datasheet!AG1053,Datasheet!AG1066,Datasheet!AG1079)/SUM(Datasheet!AG$1023,Datasheet!AG$1049,Datasheet!AG$1062,Datasheet!AG$1075)*AG$151)/AG668+(Datasheet!AG1244*AG$163)/AG668+AG$165/12</f>
        <v>#DIV/0!</v>
      </c>
      <c r="AH174" s="97" t="e">
        <f>(SUM(Datasheet!AH1184,Datasheet!AH1197)*AH$141)/AH668+(SUM(Datasheet!AH1211,Datasheet!AH1224)*AH$146)/AH668+(MAX(AH$149,AH$153)*SUM(Datasheet!AH1027,Datasheet!AH1053,Datasheet!AH1066,Datasheet!AH1079)/SUM(Datasheet!AH$1023,Datasheet!AH$1049,Datasheet!AH$1062,Datasheet!AH$1075)*AH$151)/AH668+(Datasheet!AH1244*AH$163)/AH668+AH$165/12</f>
        <v>#DIV/0!</v>
      </c>
      <c r="AI174" s="97" t="e">
        <f>(SUM(Datasheet!AI1184,Datasheet!AI1197)*AI$141)/AI668+(SUM(Datasheet!AI1211,Datasheet!AI1224)*AI$146)/AI668+(MAX(AI$149,AI$153)*SUM(Datasheet!AI1027,Datasheet!AI1053,Datasheet!AI1066,Datasheet!AI1079)/SUM(Datasheet!AI$1023,Datasheet!AI$1049,Datasheet!AI$1062,Datasheet!AI$1075)*AI$151)/AI668+(Datasheet!AI1244*AI$163)/AI668+AI$165/12</f>
        <v>#DIV/0!</v>
      </c>
      <c r="AJ174" s="97" t="e">
        <f>(SUM(Datasheet!AJ1184,Datasheet!AJ1197)*AJ$141)/AJ668+(SUM(Datasheet!AJ1211,Datasheet!AJ1224)*AJ$146)/AJ668+(MAX(AJ$149,AJ$153)*SUM(Datasheet!AJ1027,Datasheet!AJ1053,Datasheet!AJ1066,Datasheet!AJ1079)/SUM(Datasheet!AJ$1023,Datasheet!AJ$1049,Datasheet!AJ$1062,Datasheet!AJ$1075)*AJ$151)/AJ668+(Datasheet!AJ1244*AJ$163)/AJ668+AJ$165/12</f>
        <v>#DIV/0!</v>
      </c>
      <c r="AK174" s="97" t="e">
        <f>(SUM(Datasheet!AK1184,Datasheet!AK1197)*AK$141)/AK668+(SUM(Datasheet!AK1211,Datasheet!AK1224)*AK$146)/AK668+(MAX(AK$149,AK$153)*SUM(Datasheet!AK1027,Datasheet!AK1053,Datasheet!AK1066,Datasheet!AK1079)/SUM(Datasheet!AK$1023,Datasheet!AK$1049,Datasheet!AK$1062,Datasheet!AK$1075)*AK$151)/AK668+(Datasheet!AK1244*AK$163)/AK668+AK$165/12</f>
        <v>#DIV/0!</v>
      </c>
    </row>
    <row r="175" spans="2:37" s="97" customFormat="1" x14ac:dyDescent="0.25">
      <c r="E175" s="102" t="s">
        <v>318</v>
      </c>
      <c r="H175" s="97" t="s">
        <v>1296</v>
      </c>
      <c r="Q175" s="97">
        <f>(SUM(Datasheet!Q1185,Datasheet!Q1198)*Q$141)/Q669+(SUM(Datasheet!Q1212,Datasheet!Q1225)*Q$146)/Q669+(MAX(Q$149,Q$153)*SUM(Datasheet!Q1028,Datasheet!Q1054,Datasheet!Q1067,Datasheet!Q1080)/SUM(Datasheet!Q$1023,Datasheet!Q$1049,Datasheet!Q$1062,Datasheet!Q$1075)*Q$151)/Q669+(Datasheet!Q1245*Q$163)/Q669+Q$165/12</f>
        <v>805.35592153658536</v>
      </c>
      <c r="R175" s="97">
        <f>(SUM(Datasheet!R1185,Datasheet!R1198)*R$141)/R669+(SUM(Datasheet!R1212,Datasheet!R1225)*R$146)/R669+(MAX(R$149,R$153)*SUM(Datasheet!R1028,Datasheet!R1054,Datasheet!R1067,Datasheet!R1080)/SUM(Datasheet!R$1023,Datasheet!R$1049,Datasheet!R$1062,Datasheet!R$1075)*R$151)/R669+(Datasheet!R1245*R$163)/R669+R$165/12</f>
        <v>769.03492541342837</v>
      </c>
      <c r="S175" s="97">
        <f>(SUM(Datasheet!S1185,Datasheet!S1198)*S$141)/S669+(SUM(Datasheet!S1212,Datasheet!S1225)*S$146)/S669+(MAX(S$149,S$153)*SUM(Datasheet!S1028,Datasheet!S1054,Datasheet!S1067,Datasheet!S1080)/SUM(Datasheet!S$1023,Datasheet!S$1049,Datasheet!S$1062,Datasheet!S$1075)*S$151)/S669+(Datasheet!S1245*S$163)/S669+S$165/12</f>
        <v>746.59605368002508</v>
      </c>
      <c r="T175" s="97">
        <f>(SUM(Datasheet!T1185,Datasheet!T1198)*T$141)/T669+(SUM(Datasheet!T1212,Datasheet!T1225)*T$146)/T669+(MAX(T$149,T$153)*SUM(Datasheet!T1028,Datasheet!T1054,Datasheet!T1067,Datasheet!T1080)/SUM(Datasheet!T$1023,Datasheet!T$1049,Datasheet!T$1062,Datasheet!T$1075)*T$151)/T669+(Datasheet!T1245*T$163)/T669+T$165/12</f>
        <v>754.15148110721361</v>
      </c>
      <c r="U175" s="97">
        <f>(SUM(Datasheet!U1185,Datasheet!U1198)*U$141)/U669+(SUM(Datasheet!U1212,Datasheet!U1225)*U$146)/U669+(MAX(U$149,U$153)*SUM(Datasheet!U1028,Datasheet!U1054,Datasheet!U1067,Datasheet!U1080)/SUM(Datasheet!U$1023,Datasheet!U$1049,Datasheet!U$1062,Datasheet!U$1075)*U$151)/U669+(Datasheet!U1245*U$163)/U669+U$165/12</f>
        <v>766.20179526011486</v>
      </c>
      <c r="V175" s="97">
        <f>(SUM(Datasheet!V1185,Datasheet!V1198)*V$141)/V669+(SUM(Datasheet!V1212,Datasheet!V1225)*V$146)/V669+(MAX(V$149,V$153)*SUM(Datasheet!V1028,Datasheet!V1054,Datasheet!V1067,Datasheet!V1080)/SUM(Datasheet!V$1023,Datasheet!V$1049,Datasheet!V$1062,Datasheet!V$1075)*V$151)/V669+(Datasheet!V1245*V$163)/V669+V$165/12</f>
        <v>802.64809423538122</v>
      </c>
      <c r="W175" s="97">
        <f>(SUM(Datasheet!W1185,Datasheet!W1198)*W$141)/W669+(SUM(Datasheet!W1212,Datasheet!W1225)*W$146)/W669+(MAX(W$149,W$153)*SUM(Datasheet!W1028,Datasheet!W1054,Datasheet!W1067,Datasheet!W1080)/SUM(Datasheet!W$1023,Datasheet!W$1049,Datasheet!W$1062,Datasheet!W$1075)*W$151)/W669+(Datasheet!W1245*W$163)/W669+W$165/12</f>
        <v>827.94144884329546</v>
      </c>
      <c r="X175" s="97">
        <f>(SUM(Datasheet!X1185,Datasheet!X1198)*X$141)/X669+(SUM(Datasheet!X1212,Datasheet!X1225)*X$146)/X669+(MAX(X$149,X$153)*SUM(Datasheet!X1028,Datasheet!X1054,Datasheet!X1067,Datasheet!X1080)/SUM(Datasheet!X$1023,Datasheet!X$1049,Datasheet!X$1062,Datasheet!X$1075)*X$151)/X669+(Datasheet!X1245*X$163)/X669+X$165/12</f>
        <v>896.56603629885387</v>
      </c>
      <c r="Y175" s="97">
        <f>(SUM(Datasheet!Y1185,Datasheet!Y1198)*Y$141)/Y669+(SUM(Datasheet!Y1212,Datasheet!Y1225)*Y$146)/Y669+(MAX(Y$149,Y$153)*SUM(Datasheet!Y1028,Datasheet!Y1054,Datasheet!Y1067,Datasheet!Y1080)/SUM(Datasheet!Y$1023,Datasheet!Y$1049,Datasheet!Y$1062,Datasheet!Y$1075)*Y$151)/Y669+(Datasheet!Y1245*Y$163)/Y669+Y$165/12</f>
        <v>929.62632238139906</v>
      </c>
      <c r="Z175" s="97">
        <f>(SUM(Datasheet!Z1185,Datasheet!Z1198)*Z$141)/Z669+(SUM(Datasheet!Z1212,Datasheet!Z1225)*Z$146)/Z669+(MAX(Z$149,Z$153)*SUM(Datasheet!Z1028,Datasheet!Z1054,Datasheet!Z1067,Datasheet!Z1080)/SUM(Datasheet!Z$1023,Datasheet!Z$1049,Datasheet!Z$1062,Datasheet!Z$1075)*Z$151)/Z669+(Datasheet!Z1245*Z$163)/Z669+Z$165/12</f>
        <v>944.98255788764095</v>
      </c>
      <c r="AA175" s="97" t="e">
        <f>(SUM(Datasheet!AA1185,Datasheet!AA1198)*AA$141)/AA669+(SUM(Datasheet!AA1212,Datasheet!AA1225)*AA$146)/AA669+(MAX(AA$149,AA$153)*SUM(Datasheet!AA1028,Datasheet!AA1054,Datasheet!AA1067,Datasheet!AA1080)/SUM(Datasheet!AA$1023,Datasheet!AA$1049,Datasheet!AA$1062,Datasheet!AA$1075)*AA$151)/AA669+(Datasheet!AA1245*AA$163)/AA669+AA$165/12</f>
        <v>#DIV/0!</v>
      </c>
      <c r="AB175" s="97" t="e">
        <f>(SUM(Datasheet!AB1185,Datasheet!AB1198)*AB$141)/AB669+(SUM(Datasheet!AB1212,Datasheet!AB1225)*AB$146)/AB669+(MAX(AB$149,AB$153)*SUM(Datasheet!AB1028,Datasheet!AB1054,Datasheet!AB1067,Datasheet!AB1080)/SUM(Datasheet!AB$1023,Datasheet!AB$1049,Datasheet!AB$1062,Datasheet!AB$1075)*AB$151)/AB669+(Datasheet!AB1245*AB$163)/AB669+AB$165/12</f>
        <v>#DIV/0!</v>
      </c>
      <c r="AC175" s="97" t="e">
        <f>(SUM(Datasheet!AC1185,Datasheet!AC1198)*AC$141)/AC669+(SUM(Datasheet!AC1212,Datasheet!AC1225)*AC$146)/AC669+(MAX(AC$149,AC$153)*SUM(Datasheet!AC1028,Datasheet!AC1054,Datasheet!AC1067,Datasheet!AC1080)/SUM(Datasheet!AC$1023,Datasheet!AC$1049,Datasheet!AC$1062,Datasheet!AC$1075)*AC$151)/AC669+(Datasheet!AC1245*AC$163)/AC669+AC$165/12</f>
        <v>#DIV/0!</v>
      </c>
      <c r="AD175" s="97" t="e">
        <f>(SUM(Datasheet!AD1185,Datasheet!AD1198)*AD$141)/AD669+(SUM(Datasheet!AD1212,Datasheet!AD1225)*AD$146)/AD669+(MAX(AD$149,AD$153)*SUM(Datasheet!AD1028,Datasheet!AD1054,Datasheet!AD1067,Datasheet!AD1080)/SUM(Datasheet!AD$1023,Datasheet!AD$1049,Datasheet!AD$1062,Datasheet!AD$1075)*AD$151)/AD669+(Datasheet!AD1245*AD$163)/AD669+AD$165/12</f>
        <v>#DIV/0!</v>
      </c>
      <c r="AE175" s="97" t="e">
        <f>(SUM(Datasheet!AE1185,Datasheet!AE1198)*AE$141)/AE669+(SUM(Datasheet!AE1212,Datasheet!AE1225)*AE$146)/AE669+(MAX(AE$149,AE$153)*SUM(Datasheet!AE1028,Datasheet!AE1054,Datasheet!AE1067,Datasheet!AE1080)/SUM(Datasheet!AE$1023,Datasheet!AE$1049,Datasheet!AE$1062,Datasheet!AE$1075)*AE$151)/AE669+(Datasheet!AE1245*AE$163)/AE669+AE$165/12</f>
        <v>#DIV/0!</v>
      </c>
      <c r="AF175" s="97" t="e">
        <f>(SUM(Datasheet!AF1185,Datasheet!AF1198)*AF$141)/AF669+(SUM(Datasheet!AF1212,Datasheet!AF1225)*AF$146)/AF669+(MAX(AF$149,AF$153)*SUM(Datasheet!AF1028,Datasheet!AF1054,Datasheet!AF1067,Datasheet!AF1080)/SUM(Datasheet!AF$1023,Datasheet!AF$1049,Datasheet!AF$1062,Datasheet!AF$1075)*AF$151)/AF669+(Datasheet!AF1245*AF$163)/AF669+AF$165/12</f>
        <v>#DIV/0!</v>
      </c>
      <c r="AG175" s="97" t="e">
        <f>(SUM(Datasheet!AG1185,Datasheet!AG1198)*AG$141)/AG669+(SUM(Datasheet!AG1212,Datasheet!AG1225)*AG$146)/AG669+(MAX(AG$149,AG$153)*SUM(Datasheet!AG1028,Datasheet!AG1054,Datasheet!AG1067,Datasheet!AG1080)/SUM(Datasheet!AG$1023,Datasheet!AG$1049,Datasheet!AG$1062,Datasheet!AG$1075)*AG$151)/AG669+(Datasheet!AG1245*AG$163)/AG669+AG$165/12</f>
        <v>#DIV/0!</v>
      </c>
      <c r="AH175" s="97" t="e">
        <f>(SUM(Datasheet!AH1185,Datasheet!AH1198)*AH$141)/AH669+(SUM(Datasheet!AH1212,Datasheet!AH1225)*AH$146)/AH669+(MAX(AH$149,AH$153)*SUM(Datasheet!AH1028,Datasheet!AH1054,Datasheet!AH1067,Datasheet!AH1080)/SUM(Datasheet!AH$1023,Datasheet!AH$1049,Datasheet!AH$1062,Datasheet!AH$1075)*AH$151)/AH669+(Datasheet!AH1245*AH$163)/AH669+AH$165/12</f>
        <v>#DIV/0!</v>
      </c>
      <c r="AI175" s="97" t="e">
        <f>(SUM(Datasheet!AI1185,Datasheet!AI1198)*AI$141)/AI669+(SUM(Datasheet!AI1212,Datasheet!AI1225)*AI$146)/AI669+(MAX(AI$149,AI$153)*SUM(Datasheet!AI1028,Datasheet!AI1054,Datasheet!AI1067,Datasheet!AI1080)/SUM(Datasheet!AI$1023,Datasheet!AI$1049,Datasheet!AI$1062,Datasheet!AI$1075)*AI$151)/AI669+(Datasheet!AI1245*AI$163)/AI669+AI$165/12</f>
        <v>#DIV/0!</v>
      </c>
      <c r="AJ175" s="97" t="e">
        <f>(SUM(Datasheet!AJ1185,Datasheet!AJ1198)*AJ$141)/AJ669+(SUM(Datasheet!AJ1212,Datasheet!AJ1225)*AJ$146)/AJ669+(MAX(AJ$149,AJ$153)*SUM(Datasheet!AJ1028,Datasheet!AJ1054,Datasheet!AJ1067,Datasheet!AJ1080)/SUM(Datasheet!AJ$1023,Datasheet!AJ$1049,Datasheet!AJ$1062,Datasheet!AJ$1075)*AJ$151)/AJ669+(Datasheet!AJ1245*AJ$163)/AJ669+AJ$165/12</f>
        <v>#DIV/0!</v>
      </c>
      <c r="AK175" s="97" t="e">
        <f>(SUM(Datasheet!AK1185,Datasheet!AK1198)*AK$141)/AK669+(SUM(Datasheet!AK1212,Datasheet!AK1225)*AK$146)/AK669+(MAX(AK$149,AK$153)*SUM(Datasheet!AK1028,Datasheet!AK1054,Datasheet!AK1067,Datasheet!AK1080)/SUM(Datasheet!AK$1023,Datasheet!AK$1049,Datasheet!AK$1062,Datasheet!AK$1075)*AK$151)/AK669+(Datasheet!AK1245*AK$163)/AK669+AK$165/12</f>
        <v>#DIV/0!</v>
      </c>
    </row>
    <row r="176" spans="2:37" s="97" customFormat="1" x14ac:dyDescent="0.25">
      <c r="E176" s="102" t="s">
        <v>319</v>
      </c>
      <c r="H176" s="97" t="s">
        <v>1296</v>
      </c>
      <c r="Q176" s="97">
        <f>(SUM(Datasheet!Q1186,Datasheet!Q1199)*Q$141)/Q670+(SUM(Datasheet!Q1213,Datasheet!Q1226)*Q$146)/Q670+(MAX(Q$149,Q$153)*SUM(Datasheet!Q1029,Datasheet!Q1055,Datasheet!Q1068,Datasheet!Q1081)/SUM(Datasheet!Q$1023,Datasheet!Q$1049,Datasheet!Q$1062,Datasheet!Q$1075)*Q$151)/Q670+(Datasheet!Q1246*Q$163)/Q670+Q$165/12</f>
        <v>805.29609040449725</v>
      </c>
      <c r="R176" s="97">
        <f>(SUM(Datasheet!R1186,Datasheet!R1199)*R$141)/R670+(SUM(Datasheet!R1213,Datasheet!R1226)*R$146)/R670+(MAX(R$149,R$153)*SUM(Datasheet!R1029,Datasheet!R1055,Datasheet!R1068,Datasheet!R1081)/SUM(Datasheet!R$1023,Datasheet!R$1049,Datasheet!R$1062,Datasheet!R$1075)*R$151)/R670+(Datasheet!R1246*R$163)/R670+R$165/12</f>
        <v>769.00540277652863</v>
      </c>
      <c r="S176" s="97">
        <f>(SUM(Datasheet!S1186,Datasheet!S1199)*S$141)/S670+(SUM(Datasheet!S1213,Datasheet!S1226)*S$146)/S670+(MAX(S$149,S$153)*SUM(Datasheet!S1029,Datasheet!S1055,Datasheet!S1068,Datasheet!S1081)/SUM(Datasheet!S$1023,Datasheet!S$1049,Datasheet!S$1062,Datasheet!S$1075)*S$151)/S670+(Datasheet!S1246*S$163)/S670+S$165/12</f>
        <v>746.57392714197147</v>
      </c>
      <c r="T176" s="97">
        <f>(SUM(Datasheet!T1186,Datasheet!T1199)*T$141)/T670+(SUM(Datasheet!T1213,Datasheet!T1226)*T$146)/T670+(MAX(T$149,T$153)*SUM(Datasheet!T1029,Datasheet!T1055,Datasheet!T1068,Datasheet!T1081)/SUM(Datasheet!T$1023,Datasheet!T$1049,Datasheet!T$1062,Datasheet!T$1075)*T$151)/T670+(Datasheet!T1246*T$163)/T670+T$165/12</f>
        <v>754.07535701595793</v>
      </c>
      <c r="U176" s="97">
        <f>(SUM(Datasheet!U1186,Datasheet!U1199)*U$141)/U670+(SUM(Datasheet!U1213,Datasheet!U1226)*U$146)/U670+(MAX(U$149,U$153)*SUM(Datasheet!U1029,Datasheet!U1055,Datasheet!U1068,Datasheet!U1081)/SUM(Datasheet!U$1023,Datasheet!U$1049,Datasheet!U$1062,Datasheet!U$1075)*U$151)/U670+(Datasheet!U1246*U$163)/U670+U$165/12</f>
        <v>766.17141709793509</v>
      </c>
      <c r="V176" s="97">
        <f>(SUM(Datasheet!V1186,Datasheet!V1199)*V$141)/V670+(SUM(Datasheet!V1213,Datasheet!V1226)*V$146)/V670+(MAX(V$149,V$153)*SUM(Datasheet!V1029,Datasheet!V1055,Datasheet!V1068,Datasheet!V1081)/SUM(Datasheet!V$1023,Datasheet!V$1049,Datasheet!V$1062,Datasheet!V$1075)*V$151)/V670+(Datasheet!V1246*V$163)/V670+V$165/12</f>
        <v>802.61685574335706</v>
      </c>
      <c r="W176" s="97">
        <f>(SUM(Datasheet!W1186,Datasheet!W1199)*W$141)/W670+(SUM(Datasheet!W1213,Datasheet!W1226)*W$146)/W670+(MAX(W$149,W$153)*SUM(Datasheet!W1029,Datasheet!W1055,Datasheet!W1068,Datasheet!W1081)/SUM(Datasheet!W$1023,Datasheet!W$1049,Datasheet!W$1062,Datasheet!W$1075)*W$151)/W670+(Datasheet!W1246*W$163)/W670+W$165/12</f>
        <v>827.94862048508969</v>
      </c>
      <c r="X176" s="97">
        <f>(SUM(Datasheet!X1186,Datasheet!X1199)*X$141)/X670+(SUM(Datasheet!X1213,Datasheet!X1226)*X$146)/X670+(MAX(X$149,X$153)*SUM(Datasheet!X1029,Datasheet!X1055,Datasheet!X1068,Datasheet!X1081)/SUM(Datasheet!X$1023,Datasheet!X$1049,Datasheet!X$1062,Datasheet!X$1075)*X$151)/X670+(Datasheet!X1246*X$163)/X670+X$165/12</f>
        <v>896.56693343705206</v>
      </c>
      <c r="Y176" s="97">
        <f>(SUM(Datasheet!Y1186,Datasheet!Y1199)*Y$141)/Y670+(SUM(Datasheet!Y1213,Datasheet!Y1226)*Y$146)/Y670+(MAX(Y$149,Y$153)*SUM(Datasheet!Y1029,Datasheet!Y1055,Datasheet!Y1068,Datasheet!Y1081)/SUM(Datasheet!Y$1023,Datasheet!Y$1049,Datasheet!Y$1062,Datasheet!Y$1075)*Y$151)/Y670+(Datasheet!Y1246*Y$163)/Y670+Y$165/12</f>
        <v>929.66488515545666</v>
      </c>
      <c r="Z176" s="97">
        <f>(SUM(Datasheet!Z1186,Datasheet!Z1199)*Z$141)/Z670+(SUM(Datasheet!Z1213,Datasheet!Z1226)*Z$146)/Z670+(MAX(Z$149,Z$153)*SUM(Datasheet!Z1029,Datasheet!Z1055,Datasheet!Z1068,Datasheet!Z1081)/SUM(Datasheet!Z$1023,Datasheet!Z$1049,Datasheet!Z$1062,Datasheet!Z$1075)*Z$151)/Z670+(Datasheet!Z1246*Z$163)/Z670+Z$165/12</f>
        <v>945.00557704749474</v>
      </c>
      <c r="AA176" s="97" t="e">
        <f>(SUM(Datasheet!AA1186,Datasheet!AA1199)*AA$141)/AA670+(SUM(Datasheet!AA1213,Datasheet!AA1226)*AA$146)/AA670+(MAX(AA$149,AA$153)*SUM(Datasheet!AA1029,Datasheet!AA1055,Datasheet!AA1068,Datasheet!AA1081)/SUM(Datasheet!AA$1023,Datasheet!AA$1049,Datasheet!AA$1062,Datasheet!AA$1075)*AA$151)/AA670+(Datasheet!AA1246*AA$163)/AA670+AA$165/12</f>
        <v>#DIV/0!</v>
      </c>
      <c r="AB176" s="97" t="e">
        <f>(SUM(Datasheet!AB1186,Datasheet!AB1199)*AB$141)/AB670+(SUM(Datasheet!AB1213,Datasheet!AB1226)*AB$146)/AB670+(MAX(AB$149,AB$153)*SUM(Datasheet!AB1029,Datasheet!AB1055,Datasheet!AB1068,Datasheet!AB1081)/SUM(Datasheet!AB$1023,Datasheet!AB$1049,Datasheet!AB$1062,Datasheet!AB$1075)*AB$151)/AB670+(Datasheet!AB1246*AB$163)/AB670+AB$165/12</f>
        <v>#DIV/0!</v>
      </c>
      <c r="AC176" s="97" t="e">
        <f>(SUM(Datasheet!AC1186,Datasheet!AC1199)*AC$141)/AC670+(SUM(Datasheet!AC1213,Datasheet!AC1226)*AC$146)/AC670+(MAX(AC$149,AC$153)*SUM(Datasheet!AC1029,Datasheet!AC1055,Datasheet!AC1068,Datasheet!AC1081)/SUM(Datasheet!AC$1023,Datasheet!AC$1049,Datasheet!AC$1062,Datasheet!AC$1075)*AC$151)/AC670+(Datasheet!AC1246*AC$163)/AC670+AC$165/12</f>
        <v>#DIV/0!</v>
      </c>
      <c r="AD176" s="97" t="e">
        <f>(SUM(Datasheet!AD1186,Datasheet!AD1199)*AD$141)/AD670+(SUM(Datasheet!AD1213,Datasheet!AD1226)*AD$146)/AD670+(MAX(AD$149,AD$153)*SUM(Datasheet!AD1029,Datasheet!AD1055,Datasheet!AD1068,Datasheet!AD1081)/SUM(Datasheet!AD$1023,Datasheet!AD$1049,Datasheet!AD$1062,Datasheet!AD$1075)*AD$151)/AD670+(Datasheet!AD1246*AD$163)/AD670+AD$165/12</f>
        <v>#DIV/0!</v>
      </c>
      <c r="AE176" s="97" t="e">
        <f>(SUM(Datasheet!AE1186,Datasheet!AE1199)*AE$141)/AE670+(SUM(Datasheet!AE1213,Datasheet!AE1226)*AE$146)/AE670+(MAX(AE$149,AE$153)*SUM(Datasheet!AE1029,Datasheet!AE1055,Datasheet!AE1068,Datasheet!AE1081)/SUM(Datasheet!AE$1023,Datasheet!AE$1049,Datasheet!AE$1062,Datasheet!AE$1075)*AE$151)/AE670+(Datasheet!AE1246*AE$163)/AE670+AE$165/12</f>
        <v>#DIV/0!</v>
      </c>
      <c r="AF176" s="97" t="e">
        <f>(SUM(Datasheet!AF1186,Datasheet!AF1199)*AF$141)/AF670+(SUM(Datasheet!AF1213,Datasheet!AF1226)*AF$146)/AF670+(MAX(AF$149,AF$153)*SUM(Datasheet!AF1029,Datasheet!AF1055,Datasheet!AF1068,Datasheet!AF1081)/SUM(Datasheet!AF$1023,Datasheet!AF$1049,Datasheet!AF$1062,Datasheet!AF$1075)*AF$151)/AF670+(Datasheet!AF1246*AF$163)/AF670+AF$165/12</f>
        <v>#DIV/0!</v>
      </c>
      <c r="AG176" s="97" t="e">
        <f>(SUM(Datasheet!AG1186,Datasheet!AG1199)*AG$141)/AG670+(SUM(Datasheet!AG1213,Datasheet!AG1226)*AG$146)/AG670+(MAX(AG$149,AG$153)*SUM(Datasheet!AG1029,Datasheet!AG1055,Datasheet!AG1068,Datasheet!AG1081)/SUM(Datasheet!AG$1023,Datasheet!AG$1049,Datasheet!AG$1062,Datasheet!AG$1075)*AG$151)/AG670+(Datasheet!AG1246*AG$163)/AG670+AG$165/12</f>
        <v>#DIV/0!</v>
      </c>
      <c r="AH176" s="97" t="e">
        <f>(SUM(Datasheet!AH1186,Datasheet!AH1199)*AH$141)/AH670+(SUM(Datasheet!AH1213,Datasheet!AH1226)*AH$146)/AH670+(MAX(AH$149,AH$153)*SUM(Datasheet!AH1029,Datasheet!AH1055,Datasheet!AH1068,Datasheet!AH1081)/SUM(Datasheet!AH$1023,Datasheet!AH$1049,Datasheet!AH$1062,Datasheet!AH$1075)*AH$151)/AH670+(Datasheet!AH1246*AH$163)/AH670+AH$165/12</f>
        <v>#DIV/0!</v>
      </c>
      <c r="AI176" s="97" t="e">
        <f>(SUM(Datasheet!AI1186,Datasheet!AI1199)*AI$141)/AI670+(SUM(Datasheet!AI1213,Datasheet!AI1226)*AI$146)/AI670+(MAX(AI$149,AI$153)*SUM(Datasheet!AI1029,Datasheet!AI1055,Datasheet!AI1068,Datasheet!AI1081)/SUM(Datasheet!AI$1023,Datasheet!AI$1049,Datasheet!AI$1062,Datasheet!AI$1075)*AI$151)/AI670+(Datasheet!AI1246*AI$163)/AI670+AI$165/12</f>
        <v>#DIV/0!</v>
      </c>
      <c r="AJ176" s="97" t="e">
        <f>(SUM(Datasheet!AJ1186,Datasheet!AJ1199)*AJ$141)/AJ670+(SUM(Datasheet!AJ1213,Datasheet!AJ1226)*AJ$146)/AJ670+(MAX(AJ$149,AJ$153)*SUM(Datasheet!AJ1029,Datasheet!AJ1055,Datasheet!AJ1068,Datasheet!AJ1081)/SUM(Datasheet!AJ$1023,Datasheet!AJ$1049,Datasheet!AJ$1062,Datasheet!AJ$1075)*AJ$151)/AJ670+(Datasheet!AJ1246*AJ$163)/AJ670+AJ$165/12</f>
        <v>#DIV/0!</v>
      </c>
      <c r="AK176" s="97" t="e">
        <f>(SUM(Datasheet!AK1186,Datasheet!AK1199)*AK$141)/AK670+(SUM(Datasheet!AK1213,Datasheet!AK1226)*AK$146)/AK670+(MAX(AK$149,AK$153)*SUM(Datasheet!AK1029,Datasheet!AK1055,Datasheet!AK1068,Datasheet!AK1081)/SUM(Datasheet!AK$1023,Datasheet!AK$1049,Datasheet!AK$1062,Datasheet!AK$1075)*AK$151)/AK670+(Datasheet!AK1246*AK$163)/AK670+AK$165/12</f>
        <v>#DIV/0!</v>
      </c>
    </row>
    <row r="177" spans="1:37" s="97" customFormat="1" x14ac:dyDescent="0.25">
      <c r="E177" s="102" t="s">
        <v>320</v>
      </c>
      <c r="H177" s="97" t="s">
        <v>1296</v>
      </c>
      <c r="Q177" s="97">
        <f>(SUM(Datasheet!Q1187,Datasheet!Q1200)*Q$141)/Q671+(SUM(Datasheet!Q1214,Datasheet!Q1227)*Q$146)/Q671+(MAX(Q$149,Q$153)*SUM(Datasheet!Q1030,Datasheet!Q1056,Datasheet!Q1069,Datasheet!Q1082)/SUM(Datasheet!Q$1023,Datasheet!Q$1049,Datasheet!Q$1062,Datasheet!Q$1075)*Q$151)/Q671+(Datasheet!Q1247*Q$163)/Q671+Q$165/12</f>
        <v>805.35902723836875</v>
      </c>
      <c r="R177" s="97">
        <f>(SUM(Datasheet!R1187,Datasheet!R1200)*R$141)/R671+(SUM(Datasheet!R1214,Datasheet!R1227)*R$146)/R671+(MAX(R$149,R$153)*SUM(Datasheet!R1030,Datasheet!R1056,Datasheet!R1069,Datasheet!R1082)/SUM(Datasheet!R$1023,Datasheet!R$1049,Datasheet!R$1062,Datasheet!R$1075)*R$151)/R671+(Datasheet!R1247*R$163)/R671+R$165/12</f>
        <v>769.03247561951559</v>
      </c>
      <c r="S177" s="97">
        <f>(SUM(Datasheet!S1187,Datasheet!S1200)*S$141)/S671+(SUM(Datasheet!S1214,Datasheet!S1227)*S$146)/S671+(MAX(S$149,S$153)*SUM(Datasheet!S1030,Datasheet!S1056,Datasheet!S1069,Datasheet!S1082)/SUM(Datasheet!S$1023,Datasheet!S$1049,Datasheet!S$1062,Datasheet!S$1075)*S$151)/S671+(Datasheet!S1247*S$163)/S671+S$165/12</f>
        <v>746.62251320137113</v>
      </c>
      <c r="T177" s="97">
        <f>(SUM(Datasheet!T1187,Datasheet!T1200)*T$141)/T671+(SUM(Datasheet!T1214,Datasheet!T1227)*T$146)/T671+(MAX(T$149,T$153)*SUM(Datasheet!T1030,Datasheet!T1056,Datasheet!T1069,Datasheet!T1082)/SUM(Datasheet!T$1023,Datasheet!T$1049,Datasheet!T$1062,Datasheet!T$1075)*T$151)/T671+(Datasheet!T1247*T$163)/T671+T$165/12</f>
        <v>754.14652649635161</v>
      </c>
      <c r="U177" s="97">
        <f>(SUM(Datasheet!U1187,Datasheet!U1200)*U$141)/U671+(SUM(Datasheet!U1214,Datasheet!U1227)*U$146)/U671+(MAX(U$149,U$153)*SUM(Datasheet!U1030,Datasheet!U1056,Datasheet!U1069,Datasheet!U1082)/SUM(Datasheet!U$1023,Datasheet!U$1049,Datasheet!U$1062,Datasheet!U$1075)*U$151)/U671+(Datasheet!U1247*U$163)/U671+U$165/12</f>
        <v>766.23993916212805</v>
      </c>
      <c r="V177" s="97">
        <f>(SUM(Datasheet!V1187,Datasheet!V1200)*V$141)/V671+(SUM(Datasheet!V1214,Datasheet!V1227)*V$146)/V671+(MAX(V$149,V$153)*SUM(Datasheet!V1030,Datasheet!V1056,Datasheet!V1069,Datasheet!V1082)/SUM(Datasheet!V$1023,Datasheet!V$1049,Datasheet!V$1062,Datasheet!V$1075)*V$151)/V671+(Datasheet!V1247*V$163)/V671+V$165/12</f>
        <v>802.68903705202933</v>
      </c>
      <c r="W177" s="97">
        <f>(SUM(Datasheet!W1187,Datasheet!W1200)*W$141)/W671+(SUM(Datasheet!W1214,Datasheet!W1227)*W$146)/W671+(MAX(W$149,W$153)*SUM(Datasheet!W1030,Datasheet!W1056,Datasheet!W1069,Datasheet!W1082)/SUM(Datasheet!W$1023,Datasheet!W$1049,Datasheet!W$1062,Datasheet!W$1075)*W$151)/W671+(Datasheet!W1247*W$163)/W671+W$165/12</f>
        <v>827.98744949673801</v>
      </c>
      <c r="X177" s="97">
        <f>(SUM(Datasheet!X1187,Datasheet!X1200)*X$141)/X671+(SUM(Datasheet!X1214,Datasheet!X1227)*X$146)/X671+(MAX(X$149,X$153)*SUM(Datasheet!X1030,Datasheet!X1056,Datasheet!X1069,Datasheet!X1082)/SUM(Datasheet!X$1023,Datasheet!X$1049,Datasheet!X$1062,Datasheet!X$1075)*X$151)/X671+(Datasheet!X1247*X$163)/X671+X$165/12</f>
        <v>896.60378285794263</v>
      </c>
      <c r="Y177" s="97">
        <f>(SUM(Datasheet!Y1187,Datasheet!Y1200)*Y$141)/Y671+(SUM(Datasheet!Y1214,Datasheet!Y1227)*Y$146)/Y671+(MAX(Y$149,Y$153)*SUM(Datasheet!Y1030,Datasheet!Y1056,Datasheet!Y1069,Datasheet!Y1082)/SUM(Datasheet!Y$1023,Datasheet!Y$1049,Datasheet!Y$1062,Datasheet!Y$1075)*Y$151)/Y671+(Datasheet!Y1247*Y$163)/Y671+Y$165/12</f>
        <v>929.71263314534428</v>
      </c>
      <c r="Z177" s="97">
        <f>(SUM(Datasheet!Z1187,Datasheet!Z1200)*Z$141)/Z671+(SUM(Datasheet!Z1214,Datasheet!Z1227)*Z$146)/Z671+(MAX(Z$149,Z$153)*SUM(Datasheet!Z1030,Datasheet!Z1056,Datasheet!Z1069,Datasheet!Z1082)/SUM(Datasheet!Z$1023,Datasheet!Z$1049,Datasheet!Z$1062,Datasheet!Z$1075)*Z$151)/Z671+(Datasheet!Z1247*Z$163)/Z671+Z$165/12</f>
        <v>945.04722161583436</v>
      </c>
      <c r="AA177" s="97" t="e">
        <f>(SUM(Datasheet!AA1187,Datasheet!AA1200)*AA$141)/AA671+(SUM(Datasheet!AA1214,Datasheet!AA1227)*AA$146)/AA671+(MAX(AA$149,AA$153)*SUM(Datasheet!AA1030,Datasheet!AA1056,Datasheet!AA1069,Datasheet!AA1082)/SUM(Datasheet!AA$1023,Datasheet!AA$1049,Datasheet!AA$1062,Datasheet!AA$1075)*AA$151)/AA671+(Datasheet!AA1247*AA$163)/AA671+AA$165/12</f>
        <v>#DIV/0!</v>
      </c>
      <c r="AB177" s="97" t="e">
        <f>(SUM(Datasheet!AB1187,Datasheet!AB1200)*AB$141)/AB671+(SUM(Datasheet!AB1214,Datasheet!AB1227)*AB$146)/AB671+(MAX(AB$149,AB$153)*SUM(Datasheet!AB1030,Datasheet!AB1056,Datasheet!AB1069,Datasheet!AB1082)/SUM(Datasheet!AB$1023,Datasheet!AB$1049,Datasheet!AB$1062,Datasheet!AB$1075)*AB$151)/AB671+(Datasheet!AB1247*AB$163)/AB671+AB$165/12</f>
        <v>#DIV/0!</v>
      </c>
      <c r="AC177" s="97" t="e">
        <f>(SUM(Datasheet!AC1187,Datasheet!AC1200)*AC$141)/AC671+(SUM(Datasheet!AC1214,Datasheet!AC1227)*AC$146)/AC671+(MAX(AC$149,AC$153)*SUM(Datasheet!AC1030,Datasheet!AC1056,Datasheet!AC1069,Datasheet!AC1082)/SUM(Datasheet!AC$1023,Datasheet!AC$1049,Datasheet!AC$1062,Datasheet!AC$1075)*AC$151)/AC671+(Datasheet!AC1247*AC$163)/AC671+AC$165/12</f>
        <v>#DIV/0!</v>
      </c>
      <c r="AD177" s="97" t="e">
        <f>(SUM(Datasheet!AD1187,Datasheet!AD1200)*AD$141)/AD671+(SUM(Datasheet!AD1214,Datasheet!AD1227)*AD$146)/AD671+(MAX(AD$149,AD$153)*SUM(Datasheet!AD1030,Datasheet!AD1056,Datasheet!AD1069,Datasheet!AD1082)/SUM(Datasheet!AD$1023,Datasheet!AD$1049,Datasheet!AD$1062,Datasheet!AD$1075)*AD$151)/AD671+(Datasheet!AD1247*AD$163)/AD671+AD$165/12</f>
        <v>#DIV/0!</v>
      </c>
      <c r="AE177" s="97" t="e">
        <f>(SUM(Datasheet!AE1187,Datasheet!AE1200)*AE$141)/AE671+(SUM(Datasheet!AE1214,Datasheet!AE1227)*AE$146)/AE671+(MAX(AE$149,AE$153)*SUM(Datasheet!AE1030,Datasheet!AE1056,Datasheet!AE1069,Datasheet!AE1082)/SUM(Datasheet!AE$1023,Datasheet!AE$1049,Datasheet!AE$1062,Datasheet!AE$1075)*AE$151)/AE671+(Datasheet!AE1247*AE$163)/AE671+AE$165/12</f>
        <v>#DIV/0!</v>
      </c>
      <c r="AF177" s="97" t="e">
        <f>(SUM(Datasheet!AF1187,Datasheet!AF1200)*AF$141)/AF671+(SUM(Datasheet!AF1214,Datasheet!AF1227)*AF$146)/AF671+(MAX(AF$149,AF$153)*SUM(Datasheet!AF1030,Datasheet!AF1056,Datasheet!AF1069,Datasheet!AF1082)/SUM(Datasheet!AF$1023,Datasheet!AF$1049,Datasheet!AF$1062,Datasheet!AF$1075)*AF$151)/AF671+(Datasheet!AF1247*AF$163)/AF671+AF$165/12</f>
        <v>#DIV/0!</v>
      </c>
      <c r="AG177" s="97" t="e">
        <f>(SUM(Datasheet!AG1187,Datasheet!AG1200)*AG$141)/AG671+(SUM(Datasheet!AG1214,Datasheet!AG1227)*AG$146)/AG671+(MAX(AG$149,AG$153)*SUM(Datasheet!AG1030,Datasheet!AG1056,Datasheet!AG1069,Datasheet!AG1082)/SUM(Datasheet!AG$1023,Datasheet!AG$1049,Datasheet!AG$1062,Datasheet!AG$1075)*AG$151)/AG671+(Datasheet!AG1247*AG$163)/AG671+AG$165/12</f>
        <v>#DIV/0!</v>
      </c>
      <c r="AH177" s="97" t="e">
        <f>(SUM(Datasheet!AH1187,Datasheet!AH1200)*AH$141)/AH671+(SUM(Datasheet!AH1214,Datasheet!AH1227)*AH$146)/AH671+(MAX(AH$149,AH$153)*SUM(Datasheet!AH1030,Datasheet!AH1056,Datasheet!AH1069,Datasheet!AH1082)/SUM(Datasheet!AH$1023,Datasheet!AH$1049,Datasheet!AH$1062,Datasheet!AH$1075)*AH$151)/AH671+(Datasheet!AH1247*AH$163)/AH671+AH$165/12</f>
        <v>#DIV/0!</v>
      </c>
      <c r="AI177" s="97" t="e">
        <f>(SUM(Datasheet!AI1187,Datasheet!AI1200)*AI$141)/AI671+(SUM(Datasheet!AI1214,Datasheet!AI1227)*AI$146)/AI671+(MAX(AI$149,AI$153)*SUM(Datasheet!AI1030,Datasheet!AI1056,Datasheet!AI1069,Datasheet!AI1082)/SUM(Datasheet!AI$1023,Datasheet!AI$1049,Datasheet!AI$1062,Datasheet!AI$1075)*AI$151)/AI671+(Datasheet!AI1247*AI$163)/AI671+AI$165/12</f>
        <v>#DIV/0!</v>
      </c>
      <c r="AJ177" s="97" t="e">
        <f>(SUM(Datasheet!AJ1187,Datasheet!AJ1200)*AJ$141)/AJ671+(SUM(Datasheet!AJ1214,Datasheet!AJ1227)*AJ$146)/AJ671+(MAX(AJ$149,AJ$153)*SUM(Datasheet!AJ1030,Datasheet!AJ1056,Datasheet!AJ1069,Datasheet!AJ1082)/SUM(Datasheet!AJ$1023,Datasheet!AJ$1049,Datasheet!AJ$1062,Datasheet!AJ$1075)*AJ$151)/AJ671+(Datasheet!AJ1247*AJ$163)/AJ671+AJ$165/12</f>
        <v>#DIV/0!</v>
      </c>
      <c r="AK177" s="97" t="e">
        <f>(SUM(Datasheet!AK1187,Datasheet!AK1200)*AK$141)/AK671+(SUM(Datasheet!AK1214,Datasheet!AK1227)*AK$146)/AK671+(MAX(AK$149,AK$153)*SUM(Datasheet!AK1030,Datasheet!AK1056,Datasheet!AK1069,Datasheet!AK1082)/SUM(Datasheet!AK$1023,Datasheet!AK$1049,Datasheet!AK$1062,Datasheet!AK$1075)*AK$151)/AK671+(Datasheet!AK1247*AK$163)/AK671+AK$165/12</f>
        <v>#DIV/0!</v>
      </c>
    </row>
    <row r="178" spans="1:37" s="97" customFormat="1" x14ac:dyDescent="0.25">
      <c r="E178" s="102" t="s">
        <v>321</v>
      </c>
      <c r="H178" s="97" t="s">
        <v>1296</v>
      </c>
      <c r="Q178" s="97">
        <f>(SUM(Datasheet!Q1188,Datasheet!Q1201)*Q$141)/Q672+(SUM(Datasheet!Q1215,Datasheet!Q1228)*Q$146)/Q672+(MAX(Q$149,Q$153)*SUM(Datasheet!Q1031,Datasheet!Q1057,Datasheet!Q1070,Datasheet!Q1083)/SUM(Datasheet!Q$1023,Datasheet!Q$1049,Datasheet!Q$1062,Datasheet!Q$1075)*Q$151)/Q672+(Datasheet!Q1248*Q$163)/Q672+Q$165/12</f>
        <v>805.35449838788043</v>
      </c>
      <c r="R178" s="97">
        <f>(SUM(Datasheet!R1188,Datasheet!R1201)*R$141)/R672+(SUM(Datasheet!R1215,Datasheet!R1228)*R$146)/R672+(MAX(R$149,R$153)*SUM(Datasheet!R1031,Datasheet!R1057,Datasheet!R1070,Datasheet!R1083)/SUM(Datasheet!R$1023,Datasheet!R$1049,Datasheet!R$1062,Datasheet!R$1075)*R$151)/R672+(Datasheet!R1248*R$163)/R672+R$165/12</f>
        <v>769.03700826109468</v>
      </c>
      <c r="S178" s="97">
        <f>(SUM(Datasheet!S1188,Datasheet!S1201)*S$141)/S672+(SUM(Datasheet!S1215,Datasheet!S1228)*S$146)/S672+(MAX(S$149,S$153)*SUM(Datasheet!S1031,Datasheet!S1057,Datasheet!S1070,Datasheet!S1083)/SUM(Datasheet!S$1023,Datasheet!S$1049,Datasheet!S$1062,Datasheet!S$1075)*S$151)/S672+(Datasheet!S1248*S$163)/S672+S$165/12</f>
        <v>746.63584870235741</v>
      </c>
      <c r="T178" s="97">
        <f>(SUM(Datasheet!T1188,Datasheet!T1201)*T$141)/T672+(SUM(Datasheet!T1215,Datasheet!T1228)*T$146)/T672+(MAX(T$149,T$153)*SUM(Datasheet!T1031,Datasheet!T1057,Datasheet!T1070,Datasheet!T1083)/SUM(Datasheet!T$1023,Datasheet!T$1049,Datasheet!T$1062,Datasheet!T$1075)*T$151)/T672+(Datasheet!T1248*T$163)/T672+T$165/12</f>
        <v>754.14594027984901</v>
      </c>
      <c r="U178" s="97">
        <f>(SUM(Datasheet!U1188,Datasheet!U1201)*U$141)/U672+(SUM(Datasheet!U1215,Datasheet!U1228)*U$146)/U672+(MAX(U$149,U$153)*SUM(Datasheet!U1031,Datasheet!U1057,Datasheet!U1070,Datasheet!U1083)/SUM(Datasheet!U$1023,Datasheet!U$1049,Datasheet!U$1062,Datasheet!U$1075)*U$151)/U672+(Datasheet!U1248*U$163)/U672+U$165/12</f>
        <v>766.23752400458966</v>
      </c>
      <c r="V178" s="97">
        <f>(SUM(Datasheet!V1188,Datasheet!V1201)*V$141)/V672+(SUM(Datasheet!V1215,Datasheet!V1228)*V$146)/V672+(MAX(V$149,V$153)*SUM(Datasheet!V1031,Datasheet!V1057,Datasheet!V1070,Datasheet!V1083)/SUM(Datasheet!V$1023,Datasheet!V$1049,Datasheet!V$1062,Datasheet!V$1075)*V$151)/V672+(Datasheet!V1248*V$163)/V672+V$165/12</f>
        <v>802.70391653291347</v>
      </c>
      <c r="W178" s="97">
        <f>(SUM(Datasheet!W1188,Datasheet!W1201)*W$141)/W672+(SUM(Datasheet!W1215,Datasheet!W1228)*W$146)/W672+(MAX(W$149,W$153)*SUM(Datasheet!W1031,Datasheet!W1057,Datasheet!W1070,Datasheet!W1083)/SUM(Datasheet!W$1023,Datasheet!W$1049,Datasheet!W$1062,Datasheet!W$1075)*W$151)/W672+(Datasheet!W1248*W$163)/W672+W$165/12</f>
        <v>827.99472327168417</v>
      </c>
      <c r="X178" s="97">
        <f>(SUM(Datasheet!X1188,Datasheet!X1201)*X$141)/X672+(SUM(Datasheet!X1215,Datasheet!X1228)*X$146)/X672+(MAX(X$149,X$153)*SUM(Datasheet!X1031,Datasheet!X1057,Datasheet!X1070,Datasheet!X1083)/SUM(Datasheet!X$1023,Datasheet!X$1049,Datasheet!X$1062,Datasheet!X$1075)*X$151)/X672+(Datasheet!X1248*X$163)/X672+X$165/12</f>
        <v>896.59090489295704</v>
      </c>
      <c r="Y178" s="97">
        <f>(SUM(Datasheet!Y1188,Datasheet!Y1201)*Y$141)/Y672+(SUM(Datasheet!Y1215,Datasheet!Y1228)*Y$146)/Y672+(MAX(Y$149,Y$153)*SUM(Datasheet!Y1031,Datasheet!Y1057,Datasheet!Y1070,Datasheet!Y1083)/SUM(Datasheet!Y$1023,Datasheet!Y$1049,Datasheet!Y$1062,Datasheet!Y$1075)*Y$151)/Y672+(Datasheet!Y1248*Y$163)/Y672+Y$165/12</f>
        <v>929.72351786323009</v>
      </c>
      <c r="Z178" s="97">
        <f>(SUM(Datasheet!Z1188,Datasheet!Z1201)*Z$141)/Z672+(SUM(Datasheet!Z1215,Datasheet!Z1228)*Z$146)/Z672+(MAX(Z$149,Z$153)*SUM(Datasheet!Z1031,Datasheet!Z1057,Datasheet!Z1070,Datasheet!Z1083)/SUM(Datasheet!Z$1023,Datasheet!Z$1049,Datasheet!Z$1062,Datasheet!Z$1075)*Z$151)/Z672+(Datasheet!Z1248*Z$163)/Z672+Z$165/12</f>
        <v>945.04369323995752</v>
      </c>
      <c r="AA178" s="97" t="e">
        <f>(SUM(Datasheet!AA1188,Datasheet!AA1201)*AA$141)/AA672+(SUM(Datasheet!AA1215,Datasheet!AA1228)*AA$146)/AA672+(MAX(AA$149,AA$153)*SUM(Datasheet!AA1031,Datasheet!AA1057,Datasheet!AA1070,Datasheet!AA1083)/SUM(Datasheet!AA$1023,Datasheet!AA$1049,Datasheet!AA$1062,Datasheet!AA$1075)*AA$151)/AA672+(Datasheet!AA1248*AA$163)/AA672+AA$165/12</f>
        <v>#DIV/0!</v>
      </c>
      <c r="AB178" s="97" t="e">
        <f>(SUM(Datasheet!AB1188,Datasheet!AB1201)*AB$141)/AB672+(SUM(Datasheet!AB1215,Datasheet!AB1228)*AB$146)/AB672+(MAX(AB$149,AB$153)*SUM(Datasheet!AB1031,Datasheet!AB1057,Datasheet!AB1070,Datasheet!AB1083)/SUM(Datasheet!AB$1023,Datasheet!AB$1049,Datasheet!AB$1062,Datasheet!AB$1075)*AB$151)/AB672+(Datasheet!AB1248*AB$163)/AB672+AB$165/12</f>
        <v>#DIV/0!</v>
      </c>
      <c r="AC178" s="97" t="e">
        <f>(SUM(Datasheet!AC1188,Datasheet!AC1201)*AC$141)/AC672+(SUM(Datasheet!AC1215,Datasheet!AC1228)*AC$146)/AC672+(MAX(AC$149,AC$153)*SUM(Datasheet!AC1031,Datasheet!AC1057,Datasheet!AC1070,Datasheet!AC1083)/SUM(Datasheet!AC$1023,Datasheet!AC$1049,Datasheet!AC$1062,Datasheet!AC$1075)*AC$151)/AC672+(Datasheet!AC1248*AC$163)/AC672+AC$165/12</f>
        <v>#DIV/0!</v>
      </c>
      <c r="AD178" s="97" t="e">
        <f>(SUM(Datasheet!AD1188,Datasheet!AD1201)*AD$141)/AD672+(SUM(Datasheet!AD1215,Datasheet!AD1228)*AD$146)/AD672+(MAX(AD$149,AD$153)*SUM(Datasheet!AD1031,Datasheet!AD1057,Datasheet!AD1070,Datasheet!AD1083)/SUM(Datasheet!AD$1023,Datasheet!AD$1049,Datasheet!AD$1062,Datasheet!AD$1075)*AD$151)/AD672+(Datasheet!AD1248*AD$163)/AD672+AD$165/12</f>
        <v>#DIV/0!</v>
      </c>
      <c r="AE178" s="97" t="e">
        <f>(SUM(Datasheet!AE1188,Datasheet!AE1201)*AE$141)/AE672+(SUM(Datasheet!AE1215,Datasheet!AE1228)*AE$146)/AE672+(MAX(AE$149,AE$153)*SUM(Datasheet!AE1031,Datasheet!AE1057,Datasheet!AE1070,Datasheet!AE1083)/SUM(Datasheet!AE$1023,Datasheet!AE$1049,Datasheet!AE$1062,Datasheet!AE$1075)*AE$151)/AE672+(Datasheet!AE1248*AE$163)/AE672+AE$165/12</f>
        <v>#DIV/0!</v>
      </c>
      <c r="AF178" s="97" t="e">
        <f>(SUM(Datasheet!AF1188,Datasheet!AF1201)*AF$141)/AF672+(SUM(Datasheet!AF1215,Datasheet!AF1228)*AF$146)/AF672+(MAX(AF$149,AF$153)*SUM(Datasheet!AF1031,Datasheet!AF1057,Datasheet!AF1070,Datasheet!AF1083)/SUM(Datasheet!AF$1023,Datasheet!AF$1049,Datasheet!AF$1062,Datasheet!AF$1075)*AF$151)/AF672+(Datasheet!AF1248*AF$163)/AF672+AF$165/12</f>
        <v>#DIV/0!</v>
      </c>
      <c r="AG178" s="97" t="e">
        <f>(SUM(Datasheet!AG1188,Datasheet!AG1201)*AG$141)/AG672+(SUM(Datasheet!AG1215,Datasheet!AG1228)*AG$146)/AG672+(MAX(AG$149,AG$153)*SUM(Datasheet!AG1031,Datasheet!AG1057,Datasheet!AG1070,Datasheet!AG1083)/SUM(Datasheet!AG$1023,Datasheet!AG$1049,Datasheet!AG$1062,Datasheet!AG$1075)*AG$151)/AG672+(Datasheet!AG1248*AG$163)/AG672+AG$165/12</f>
        <v>#DIV/0!</v>
      </c>
      <c r="AH178" s="97" t="e">
        <f>(SUM(Datasheet!AH1188,Datasheet!AH1201)*AH$141)/AH672+(SUM(Datasheet!AH1215,Datasheet!AH1228)*AH$146)/AH672+(MAX(AH$149,AH$153)*SUM(Datasheet!AH1031,Datasheet!AH1057,Datasheet!AH1070,Datasheet!AH1083)/SUM(Datasheet!AH$1023,Datasheet!AH$1049,Datasheet!AH$1062,Datasheet!AH$1075)*AH$151)/AH672+(Datasheet!AH1248*AH$163)/AH672+AH$165/12</f>
        <v>#DIV/0!</v>
      </c>
      <c r="AI178" s="97" t="e">
        <f>(SUM(Datasheet!AI1188,Datasheet!AI1201)*AI$141)/AI672+(SUM(Datasheet!AI1215,Datasheet!AI1228)*AI$146)/AI672+(MAX(AI$149,AI$153)*SUM(Datasheet!AI1031,Datasheet!AI1057,Datasheet!AI1070,Datasheet!AI1083)/SUM(Datasheet!AI$1023,Datasheet!AI$1049,Datasheet!AI$1062,Datasheet!AI$1075)*AI$151)/AI672+(Datasheet!AI1248*AI$163)/AI672+AI$165/12</f>
        <v>#DIV/0!</v>
      </c>
      <c r="AJ178" s="97" t="e">
        <f>(SUM(Datasheet!AJ1188,Datasheet!AJ1201)*AJ$141)/AJ672+(SUM(Datasheet!AJ1215,Datasheet!AJ1228)*AJ$146)/AJ672+(MAX(AJ$149,AJ$153)*SUM(Datasheet!AJ1031,Datasheet!AJ1057,Datasheet!AJ1070,Datasheet!AJ1083)/SUM(Datasheet!AJ$1023,Datasheet!AJ$1049,Datasheet!AJ$1062,Datasheet!AJ$1075)*AJ$151)/AJ672+(Datasheet!AJ1248*AJ$163)/AJ672+AJ$165/12</f>
        <v>#DIV/0!</v>
      </c>
      <c r="AK178" s="97" t="e">
        <f>(SUM(Datasheet!AK1188,Datasheet!AK1201)*AK$141)/AK672+(SUM(Datasheet!AK1215,Datasheet!AK1228)*AK$146)/AK672+(MAX(AK$149,AK$153)*SUM(Datasheet!AK1031,Datasheet!AK1057,Datasheet!AK1070,Datasheet!AK1083)/SUM(Datasheet!AK$1023,Datasheet!AK$1049,Datasheet!AK$1062,Datasheet!AK$1075)*AK$151)/AK672+(Datasheet!AK1248*AK$163)/AK672+AK$165/12</f>
        <v>#DIV/0!</v>
      </c>
    </row>
    <row r="179" spans="1:37" s="97" customFormat="1" x14ac:dyDescent="0.25">
      <c r="E179" s="102" t="s">
        <v>322</v>
      </c>
      <c r="H179" s="97" t="s">
        <v>1296</v>
      </c>
      <c r="Q179" s="97">
        <f>(SUM(Datasheet!Q1189,Datasheet!Q1202)*Q$141)/Q673+(SUM(Datasheet!Q1216,Datasheet!Q1229)*Q$146)/Q673+(MAX(Q$149,Q$153)*SUM(Datasheet!Q1032,Datasheet!Q1058,Datasheet!Q1071,Datasheet!Q1084)/SUM(Datasheet!Q$1023,Datasheet!Q$1049,Datasheet!Q$1062,Datasheet!Q$1075)*Q$151)/Q673+(Datasheet!Q1249*Q$163)/Q673+Q$165/12</f>
        <v>805.28348871971127</v>
      </c>
      <c r="R179" s="97">
        <f>(SUM(Datasheet!R1189,Datasheet!R1202)*R$141)/R673+(SUM(Datasheet!R1216,Datasheet!R1229)*R$146)/R673+(MAX(R$149,R$153)*SUM(Datasheet!R1032,Datasheet!R1058,Datasheet!R1071,Datasheet!R1084)/SUM(Datasheet!R$1023,Datasheet!R$1049,Datasheet!R$1062,Datasheet!R$1075)*R$151)/R673+(Datasheet!R1249*R$163)/R673+R$165/12</f>
        <v>768.94891129129337</v>
      </c>
      <c r="S179" s="97">
        <f>(SUM(Datasheet!S1189,Datasheet!S1202)*S$141)/S673+(SUM(Datasheet!S1216,Datasheet!S1229)*S$146)/S673+(MAX(S$149,S$153)*SUM(Datasheet!S1032,Datasheet!S1058,Datasheet!S1071,Datasheet!S1084)/SUM(Datasheet!S$1023,Datasheet!S$1049,Datasheet!S$1062,Datasheet!S$1075)*S$151)/S673+(Datasheet!S1249*S$163)/S673+S$165/12</f>
        <v>746.55271042414677</v>
      </c>
      <c r="T179" s="97">
        <f>(SUM(Datasheet!T1189,Datasheet!T1202)*T$141)/T673+(SUM(Datasheet!T1216,Datasheet!T1229)*T$146)/T673+(MAX(T$149,T$153)*SUM(Datasheet!T1032,Datasheet!T1058,Datasheet!T1071,Datasheet!T1084)/SUM(Datasheet!T$1023,Datasheet!T$1049,Datasheet!T$1062,Datasheet!T$1075)*T$151)/T673+(Datasheet!T1249*T$163)/T673+T$165/12</f>
        <v>754.06227507593826</v>
      </c>
      <c r="U179" s="97">
        <f>(SUM(Datasheet!U1189,Datasheet!U1202)*U$141)/U673+(SUM(Datasheet!U1216,Datasheet!U1229)*U$146)/U673+(MAX(U$149,U$153)*SUM(Datasheet!U1032,Datasheet!U1058,Datasheet!U1071,Datasheet!U1084)/SUM(Datasheet!U$1023,Datasheet!U$1049,Datasheet!U$1062,Datasheet!U$1075)*U$151)/U673+(Datasheet!U1249*U$163)/U673+U$165/12</f>
        <v>766.2023337795946</v>
      </c>
      <c r="V179" s="97">
        <f>(SUM(Datasheet!V1189,Datasheet!V1202)*V$141)/V673+(SUM(Datasheet!V1216,Datasheet!V1229)*V$146)/V673+(MAX(V$149,V$153)*SUM(Datasheet!V1032,Datasheet!V1058,Datasheet!V1071,Datasheet!V1084)/SUM(Datasheet!V$1023,Datasheet!V$1049,Datasheet!V$1062,Datasheet!V$1075)*V$151)/V673+(Datasheet!V1249*V$163)/V673+V$165/12</f>
        <v>802.6251246314016</v>
      </c>
      <c r="W179" s="97">
        <f>(SUM(Datasheet!W1189,Datasheet!W1202)*W$141)/W673+(SUM(Datasheet!W1216,Datasheet!W1229)*W$146)/W673+(MAX(W$149,W$153)*SUM(Datasheet!W1032,Datasheet!W1058,Datasheet!W1071,Datasheet!W1084)/SUM(Datasheet!W$1023,Datasheet!W$1049,Datasheet!W$1062,Datasheet!W$1075)*W$151)/W673+(Datasheet!W1249*W$163)/W673+W$165/12</f>
        <v>827.99370373772729</v>
      </c>
      <c r="X179" s="97">
        <f>(SUM(Datasheet!X1189,Datasheet!X1202)*X$141)/X673+(SUM(Datasheet!X1216,Datasheet!X1229)*X$146)/X673+(MAX(X$149,X$153)*SUM(Datasheet!X1032,Datasheet!X1058,Datasheet!X1071,Datasheet!X1084)/SUM(Datasheet!X$1023,Datasheet!X$1049,Datasheet!X$1062,Datasheet!X$1075)*X$151)/X673+(Datasheet!X1249*X$163)/X673+X$165/12</f>
        <v>896.53400145270916</v>
      </c>
      <c r="Y179" s="97">
        <f>(SUM(Datasheet!Y1189,Datasheet!Y1202)*Y$141)/Y673+(SUM(Datasheet!Y1216,Datasheet!Y1229)*Y$146)/Y673+(MAX(Y$149,Y$153)*SUM(Datasheet!Y1032,Datasheet!Y1058,Datasheet!Y1071,Datasheet!Y1084)/SUM(Datasheet!Y$1023,Datasheet!Y$1049,Datasheet!Y$1062,Datasheet!Y$1075)*Y$151)/Y673+(Datasheet!Y1249*Y$163)/Y673+Y$165/12</f>
        <v>929.65283915580414</v>
      </c>
      <c r="Z179" s="97">
        <f>(SUM(Datasheet!Z1189,Datasheet!Z1202)*Z$141)/Z673+(SUM(Datasheet!Z1216,Datasheet!Z1229)*Z$146)/Z673+(MAX(Z$149,Z$153)*SUM(Datasheet!Z1032,Datasheet!Z1058,Datasheet!Z1071,Datasheet!Z1084)/SUM(Datasheet!Z$1023,Datasheet!Z$1049,Datasheet!Z$1062,Datasheet!Z$1075)*Z$151)/Z673+(Datasheet!Z1249*Z$163)/Z673+Z$165/12</f>
        <v>944.99555010980089</v>
      </c>
      <c r="AA179" s="97" t="e">
        <f>(SUM(Datasheet!AA1189,Datasheet!AA1202)*AA$141)/AA673+(SUM(Datasheet!AA1216,Datasheet!AA1229)*AA$146)/AA673+(MAX(AA$149,AA$153)*SUM(Datasheet!AA1032,Datasheet!AA1058,Datasheet!AA1071,Datasheet!AA1084)/SUM(Datasheet!AA$1023,Datasheet!AA$1049,Datasheet!AA$1062,Datasheet!AA$1075)*AA$151)/AA673+(Datasheet!AA1249*AA$163)/AA673+AA$165/12</f>
        <v>#DIV/0!</v>
      </c>
      <c r="AB179" s="97" t="e">
        <f>(SUM(Datasheet!AB1189,Datasheet!AB1202)*AB$141)/AB673+(SUM(Datasheet!AB1216,Datasheet!AB1229)*AB$146)/AB673+(MAX(AB$149,AB$153)*SUM(Datasheet!AB1032,Datasheet!AB1058,Datasheet!AB1071,Datasheet!AB1084)/SUM(Datasheet!AB$1023,Datasheet!AB$1049,Datasheet!AB$1062,Datasheet!AB$1075)*AB$151)/AB673+(Datasheet!AB1249*AB$163)/AB673+AB$165/12</f>
        <v>#DIV/0!</v>
      </c>
      <c r="AC179" s="97" t="e">
        <f>(SUM(Datasheet!AC1189,Datasheet!AC1202)*AC$141)/AC673+(SUM(Datasheet!AC1216,Datasheet!AC1229)*AC$146)/AC673+(MAX(AC$149,AC$153)*SUM(Datasheet!AC1032,Datasheet!AC1058,Datasheet!AC1071,Datasheet!AC1084)/SUM(Datasheet!AC$1023,Datasheet!AC$1049,Datasheet!AC$1062,Datasheet!AC$1075)*AC$151)/AC673+(Datasheet!AC1249*AC$163)/AC673+AC$165/12</f>
        <v>#DIV/0!</v>
      </c>
      <c r="AD179" s="97" t="e">
        <f>(SUM(Datasheet!AD1189,Datasheet!AD1202)*AD$141)/AD673+(SUM(Datasheet!AD1216,Datasheet!AD1229)*AD$146)/AD673+(MAX(AD$149,AD$153)*SUM(Datasheet!AD1032,Datasheet!AD1058,Datasheet!AD1071,Datasheet!AD1084)/SUM(Datasheet!AD$1023,Datasheet!AD$1049,Datasheet!AD$1062,Datasheet!AD$1075)*AD$151)/AD673+(Datasheet!AD1249*AD$163)/AD673+AD$165/12</f>
        <v>#DIV/0!</v>
      </c>
      <c r="AE179" s="97" t="e">
        <f>(SUM(Datasheet!AE1189,Datasheet!AE1202)*AE$141)/AE673+(SUM(Datasheet!AE1216,Datasheet!AE1229)*AE$146)/AE673+(MAX(AE$149,AE$153)*SUM(Datasheet!AE1032,Datasheet!AE1058,Datasheet!AE1071,Datasheet!AE1084)/SUM(Datasheet!AE$1023,Datasheet!AE$1049,Datasheet!AE$1062,Datasheet!AE$1075)*AE$151)/AE673+(Datasheet!AE1249*AE$163)/AE673+AE$165/12</f>
        <v>#DIV/0!</v>
      </c>
      <c r="AF179" s="97" t="e">
        <f>(SUM(Datasheet!AF1189,Datasheet!AF1202)*AF$141)/AF673+(SUM(Datasheet!AF1216,Datasheet!AF1229)*AF$146)/AF673+(MAX(AF$149,AF$153)*SUM(Datasheet!AF1032,Datasheet!AF1058,Datasheet!AF1071,Datasheet!AF1084)/SUM(Datasheet!AF$1023,Datasheet!AF$1049,Datasheet!AF$1062,Datasheet!AF$1075)*AF$151)/AF673+(Datasheet!AF1249*AF$163)/AF673+AF$165/12</f>
        <v>#DIV/0!</v>
      </c>
      <c r="AG179" s="97" t="e">
        <f>(SUM(Datasheet!AG1189,Datasheet!AG1202)*AG$141)/AG673+(SUM(Datasheet!AG1216,Datasheet!AG1229)*AG$146)/AG673+(MAX(AG$149,AG$153)*SUM(Datasheet!AG1032,Datasheet!AG1058,Datasheet!AG1071,Datasheet!AG1084)/SUM(Datasheet!AG$1023,Datasheet!AG$1049,Datasheet!AG$1062,Datasheet!AG$1075)*AG$151)/AG673+(Datasheet!AG1249*AG$163)/AG673+AG$165/12</f>
        <v>#DIV/0!</v>
      </c>
      <c r="AH179" s="97" t="e">
        <f>(SUM(Datasheet!AH1189,Datasheet!AH1202)*AH$141)/AH673+(SUM(Datasheet!AH1216,Datasheet!AH1229)*AH$146)/AH673+(MAX(AH$149,AH$153)*SUM(Datasheet!AH1032,Datasheet!AH1058,Datasheet!AH1071,Datasheet!AH1084)/SUM(Datasheet!AH$1023,Datasheet!AH$1049,Datasheet!AH$1062,Datasheet!AH$1075)*AH$151)/AH673+(Datasheet!AH1249*AH$163)/AH673+AH$165/12</f>
        <v>#DIV/0!</v>
      </c>
      <c r="AI179" s="97" t="e">
        <f>(SUM(Datasheet!AI1189,Datasheet!AI1202)*AI$141)/AI673+(SUM(Datasheet!AI1216,Datasheet!AI1229)*AI$146)/AI673+(MAX(AI$149,AI$153)*SUM(Datasheet!AI1032,Datasheet!AI1058,Datasheet!AI1071,Datasheet!AI1084)/SUM(Datasheet!AI$1023,Datasheet!AI$1049,Datasheet!AI$1062,Datasheet!AI$1075)*AI$151)/AI673+(Datasheet!AI1249*AI$163)/AI673+AI$165/12</f>
        <v>#DIV/0!</v>
      </c>
      <c r="AJ179" s="97" t="e">
        <f>(SUM(Datasheet!AJ1189,Datasheet!AJ1202)*AJ$141)/AJ673+(SUM(Datasheet!AJ1216,Datasheet!AJ1229)*AJ$146)/AJ673+(MAX(AJ$149,AJ$153)*SUM(Datasheet!AJ1032,Datasheet!AJ1058,Datasheet!AJ1071,Datasheet!AJ1084)/SUM(Datasheet!AJ$1023,Datasheet!AJ$1049,Datasheet!AJ$1062,Datasheet!AJ$1075)*AJ$151)/AJ673+(Datasheet!AJ1249*AJ$163)/AJ673+AJ$165/12</f>
        <v>#DIV/0!</v>
      </c>
      <c r="AK179" s="97" t="e">
        <f>(SUM(Datasheet!AK1189,Datasheet!AK1202)*AK$141)/AK673+(SUM(Datasheet!AK1216,Datasheet!AK1229)*AK$146)/AK673+(MAX(AK$149,AK$153)*SUM(Datasheet!AK1032,Datasheet!AK1058,Datasheet!AK1071,Datasheet!AK1084)/SUM(Datasheet!AK$1023,Datasheet!AK$1049,Datasheet!AK$1062,Datasheet!AK$1075)*AK$151)/AK673+(Datasheet!AK1249*AK$163)/AK673+AK$165/12</f>
        <v>#DIV/0!</v>
      </c>
    </row>
    <row r="180" spans="1:37" s="97" customFormat="1" x14ac:dyDescent="0.25">
      <c r="E180" s="102" t="s">
        <v>323</v>
      </c>
      <c r="H180" s="97" t="s">
        <v>1296</v>
      </c>
      <c r="Q180" s="97">
        <f>(SUM(Datasheet!Q1190,Datasheet!Q1203)*Q$141)/Q674+(SUM(Datasheet!Q1217,Datasheet!Q1230)*Q$146)/Q674+(MAX(Q$149,Q$153)*SUM(Datasheet!Q1033,Datasheet!Q1059,Datasheet!Q1072,Datasheet!Q1085)/SUM(Datasheet!Q$1023,Datasheet!Q$1049,Datasheet!Q$1062,Datasheet!Q$1075)*Q$151)/Q674+(Datasheet!Q1250*Q$163)/Q674+Q$165/12</f>
        <v>805.31630900490711</v>
      </c>
      <c r="R180" s="97">
        <f>(SUM(Datasheet!R1190,Datasheet!R1203)*R$141)/R674+(SUM(Datasheet!R1217,Datasheet!R1230)*R$146)/R674+(MAX(R$149,R$153)*SUM(Datasheet!R1033,Datasheet!R1059,Datasheet!R1072,Datasheet!R1085)/SUM(Datasheet!R$1023,Datasheet!R$1049,Datasheet!R$1062,Datasheet!R$1075)*R$151)/R674+(Datasheet!R1250*R$163)/R674+R$165/12</f>
        <v>768.99754766833757</v>
      </c>
      <c r="S180" s="97">
        <f>(SUM(Datasheet!S1190,Datasheet!S1203)*S$141)/S674+(SUM(Datasheet!S1217,Datasheet!S1230)*S$146)/S674+(MAX(S$149,S$153)*SUM(Datasheet!S1033,Datasheet!S1059,Datasheet!S1072,Datasheet!S1085)/SUM(Datasheet!S$1023,Datasheet!S$1049,Datasheet!S$1062,Datasheet!S$1075)*S$151)/S674+(Datasheet!S1250*S$163)/S674+S$165/12</f>
        <v>746.5900971842716</v>
      </c>
      <c r="T180" s="97">
        <f>(SUM(Datasheet!T1190,Datasheet!T1203)*T$141)/T674+(SUM(Datasheet!T1217,Datasheet!T1230)*T$146)/T674+(MAX(T$149,T$153)*SUM(Datasheet!T1033,Datasheet!T1059,Datasheet!T1072,Datasheet!T1085)/SUM(Datasheet!T$1023,Datasheet!T$1049,Datasheet!T$1062,Datasheet!T$1075)*T$151)/T674+(Datasheet!T1250*T$163)/T674+T$165/12</f>
        <v>754.13966753406157</v>
      </c>
      <c r="U180" s="97">
        <f>(SUM(Datasheet!U1190,Datasheet!U1203)*U$141)/U674+(SUM(Datasheet!U1217,Datasheet!U1230)*U$146)/U674+(MAX(U$149,U$153)*SUM(Datasheet!U1033,Datasheet!U1059,Datasheet!U1072,Datasheet!U1085)/SUM(Datasheet!U$1023,Datasheet!U$1049,Datasheet!U$1062,Datasheet!U$1075)*U$151)/U674+(Datasheet!U1250*U$163)/U674+U$165/12</f>
        <v>766.19815689066104</v>
      </c>
      <c r="V180" s="97">
        <f>(SUM(Datasheet!V1190,Datasheet!V1203)*V$141)/V674+(SUM(Datasheet!V1217,Datasheet!V1230)*V$146)/V674+(MAX(V$149,V$153)*SUM(Datasheet!V1033,Datasheet!V1059,Datasheet!V1072,Datasheet!V1085)/SUM(Datasheet!V$1023,Datasheet!V$1049,Datasheet!V$1062,Datasheet!V$1075)*V$151)/V674+(Datasheet!V1250*V$163)/V674+V$165/12</f>
        <v>802.67380764780887</v>
      </c>
      <c r="W180" s="97">
        <f>(SUM(Datasheet!W1190,Datasheet!W1203)*W$141)/W674+(SUM(Datasheet!W1217,Datasheet!W1230)*W$146)/W674+(MAX(W$149,W$153)*SUM(Datasheet!W1033,Datasheet!W1059,Datasheet!W1072,Datasheet!W1085)/SUM(Datasheet!W$1023,Datasheet!W$1049,Datasheet!W$1062,Datasheet!W$1075)*W$151)/W674+(Datasheet!W1250*W$163)/W674+W$165/12</f>
        <v>827.98937431164438</v>
      </c>
      <c r="X180" s="97">
        <f>(SUM(Datasheet!X1190,Datasheet!X1203)*X$141)/X674+(SUM(Datasheet!X1217,Datasheet!X1230)*X$146)/X674+(MAX(X$149,X$153)*SUM(Datasheet!X1033,Datasheet!X1059,Datasheet!X1072,Datasheet!X1085)/SUM(Datasheet!X$1023,Datasheet!X$1049,Datasheet!X$1062,Datasheet!X$1075)*X$151)/X674+(Datasheet!X1250*X$163)/X674+X$165/12</f>
        <v>896.6448919328725</v>
      </c>
      <c r="Y180" s="97">
        <f>(SUM(Datasheet!Y1190,Datasheet!Y1203)*Y$141)/Y674+(SUM(Datasheet!Y1217,Datasheet!Y1230)*Y$146)/Y674+(MAX(Y$149,Y$153)*SUM(Datasheet!Y1033,Datasheet!Y1059,Datasheet!Y1072,Datasheet!Y1085)/SUM(Datasheet!Y$1023,Datasheet!Y$1049,Datasheet!Y$1062,Datasheet!Y$1075)*Y$151)/Y674+(Datasheet!Y1250*Y$163)/Y674+Y$165/12</f>
        <v>929.70431695231764</v>
      </c>
      <c r="Z180" s="97">
        <f>(SUM(Datasheet!Z1190,Datasheet!Z1203)*Z$141)/Z674+(SUM(Datasheet!Z1217,Datasheet!Z1230)*Z$146)/Z674+(MAX(Z$149,Z$153)*SUM(Datasheet!Z1033,Datasheet!Z1059,Datasheet!Z1072,Datasheet!Z1085)/SUM(Datasheet!Z$1023,Datasheet!Z$1049,Datasheet!Z$1062,Datasheet!Z$1075)*Z$151)/Z674+(Datasheet!Z1250*Z$163)/Z674+Z$165/12</f>
        <v>945.01892864224624</v>
      </c>
      <c r="AA180" s="97" t="e">
        <f>(SUM(Datasheet!AA1190,Datasheet!AA1203)*AA$141)/AA674+(SUM(Datasheet!AA1217,Datasheet!AA1230)*AA$146)/AA674+(MAX(AA$149,AA$153)*SUM(Datasheet!AA1033,Datasheet!AA1059,Datasheet!AA1072,Datasheet!AA1085)/SUM(Datasheet!AA$1023,Datasheet!AA$1049,Datasheet!AA$1062,Datasheet!AA$1075)*AA$151)/AA674+(Datasheet!AA1250*AA$163)/AA674+AA$165/12</f>
        <v>#DIV/0!</v>
      </c>
      <c r="AB180" s="97" t="e">
        <f>(SUM(Datasheet!AB1190,Datasheet!AB1203)*AB$141)/AB674+(SUM(Datasheet!AB1217,Datasheet!AB1230)*AB$146)/AB674+(MAX(AB$149,AB$153)*SUM(Datasheet!AB1033,Datasheet!AB1059,Datasheet!AB1072,Datasheet!AB1085)/SUM(Datasheet!AB$1023,Datasheet!AB$1049,Datasheet!AB$1062,Datasheet!AB$1075)*AB$151)/AB674+(Datasheet!AB1250*AB$163)/AB674+AB$165/12</f>
        <v>#DIV/0!</v>
      </c>
      <c r="AC180" s="97" t="e">
        <f>(SUM(Datasheet!AC1190,Datasheet!AC1203)*AC$141)/AC674+(SUM(Datasheet!AC1217,Datasheet!AC1230)*AC$146)/AC674+(MAX(AC$149,AC$153)*SUM(Datasheet!AC1033,Datasheet!AC1059,Datasheet!AC1072,Datasheet!AC1085)/SUM(Datasheet!AC$1023,Datasheet!AC$1049,Datasheet!AC$1062,Datasheet!AC$1075)*AC$151)/AC674+(Datasheet!AC1250*AC$163)/AC674+AC$165/12</f>
        <v>#DIV/0!</v>
      </c>
      <c r="AD180" s="97" t="e">
        <f>(SUM(Datasheet!AD1190,Datasheet!AD1203)*AD$141)/AD674+(SUM(Datasheet!AD1217,Datasheet!AD1230)*AD$146)/AD674+(MAX(AD$149,AD$153)*SUM(Datasheet!AD1033,Datasheet!AD1059,Datasheet!AD1072,Datasheet!AD1085)/SUM(Datasheet!AD$1023,Datasheet!AD$1049,Datasheet!AD$1062,Datasheet!AD$1075)*AD$151)/AD674+(Datasheet!AD1250*AD$163)/AD674+AD$165/12</f>
        <v>#DIV/0!</v>
      </c>
      <c r="AE180" s="97" t="e">
        <f>(SUM(Datasheet!AE1190,Datasheet!AE1203)*AE$141)/AE674+(SUM(Datasheet!AE1217,Datasheet!AE1230)*AE$146)/AE674+(MAX(AE$149,AE$153)*SUM(Datasheet!AE1033,Datasheet!AE1059,Datasheet!AE1072,Datasheet!AE1085)/SUM(Datasheet!AE$1023,Datasheet!AE$1049,Datasheet!AE$1062,Datasheet!AE$1075)*AE$151)/AE674+(Datasheet!AE1250*AE$163)/AE674+AE$165/12</f>
        <v>#DIV/0!</v>
      </c>
      <c r="AF180" s="97" t="e">
        <f>(SUM(Datasheet!AF1190,Datasheet!AF1203)*AF$141)/AF674+(SUM(Datasheet!AF1217,Datasheet!AF1230)*AF$146)/AF674+(MAX(AF$149,AF$153)*SUM(Datasheet!AF1033,Datasheet!AF1059,Datasheet!AF1072,Datasheet!AF1085)/SUM(Datasheet!AF$1023,Datasheet!AF$1049,Datasheet!AF$1062,Datasheet!AF$1075)*AF$151)/AF674+(Datasheet!AF1250*AF$163)/AF674+AF$165/12</f>
        <v>#DIV/0!</v>
      </c>
      <c r="AG180" s="97" t="e">
        <f>(SUM(Datasheet!AG1190,Datasheet!AG1203)*AG$141)/AG674+(SUM(Datasheet!AG1217,Datasheet!AG1230)*AG$146)/AG674+(MAX(AG$149,AG$153)*SUM(Datasheet!AG1033,Datasheet!AG1059,Datasheet!AG1072,Datasheet!AG1085)/SUM(Datasheet!AG$1023,Datasheet!AG$1049,Datasheet!AG$1062,Datasheet!AG$1075)*AG$151)/AG674+(Datasheet!AG1250*AG$163)/AG674+AG$165/12</f>
        <v>#DIV/0!</v>
      </c>
      <c r="AH180" s="97" t="e">
        <f>(SUM(Datasheet!AH1190,Datasheet!AH1203)*AH$141)/AH674+(SUM(Datasheet!AH1217,Datasheet!AH1230)*AH$146)/AH674+(MAX(AH$149,AH$153)*SUM(Datasheet!AH1033,Datasheet!AH1059,Datasheet!AH1072,Datasheet!AH1085)/SUM(Datasheet!AH$1023,Datasheet!AH$1049,Datasheet!AH$1062,Datasheet!AH$1075)*AH$151)/AH674+(Datasheet!AH1250*AH$163)/AH674+AH$165/12</f>
        <v>#DIV/0!</v>
      </c>
      <c r="AI180" s="97" t="e">
        <f>(SUM(Datasheet!AI1190,Datasheet!AI1203)*AI$141)/AI674+(SUM(Datasheet!AI1217,Datasheet!AI1230)*AI$146)/AI674+(MAX(AI$149,AI$153)*SUM(Datasheet!AI1033,Datasheet!AI1059,Datasheet!AI1072,Datasheet!AI1085)/SUM(Datasheet!AI$1023,Datasheet!AI$1049,Datasheet!AI$1062,Datasheet!AI$1075)*AI$151)/AI674+(Datasheet!AI1250*AI$163)/AI674+AI$165/12</f>
        <v>#DIV/0!</v>
      </c>
      <c r="AJ180" s="97" t="e">
        <f>(SUM(Datasheet!AJ1190,Datasheet!AJ1203)*AJ$141)/AJ674+(SUM(Datasheet!AJ1217,Datasheet!AJ1230)*AJ$146)/AJ674+(MAX(AJ$149,AJ$153)*SUM(Datasheet!AJ1033,Datasheet!AJ1059,Datasheet!AJ1072,Datasheet!AJ1085)/SUM(Datasheet!AJ$1023,Datasheet!AJ$1049,Datasheet!AJ$1062,Datasheet!AJ$1075)*AJ$151)/AJ674+(Datasheet!AJ1250*AJ$163)/AJ674+AJ$165/12</f>
        <v>#DIV/0!</v>
      </c>
      <c r="AK180" s="97" t="e">
        <f>(SUM(Datasheet!AK1190,Datasheet!AK1203)*AK$141)/AK674+(SUM(Datasheet!AK1217,Datasheet!AK1230)*AK$146)/AK674+(MAX(AK$149,AK$153)*SUM(Datasheet!AK1033,Datasheet!AK1059,Datasheet!AK1072,Datasheet!AK1085)/SUM(Datasheet!AK$1023,Datasheet!AK$1049,Datasheet!AK$1062,Datasheet!AK$1075)*AK$151)/AK674+(Datasheet!AK1250*AK$163)/AK674+AK$165/12</f>
        <v>#DIV/0!</v>
      </c>
    </row>
    <row r="181" spans="1:37" s="97" customFormat="1" x14ac:dyDescent="0.25">
      <c r="E181" s="102" t="s">
        <v>324</v>
      </c>
      <c r="H181" s="97" t="s">
        <v>1296</v>
      </c>
      <c r="Q181" s="97">
        <f>(SUM(Datasheet!Q1191,Datasheet!Q1204)*Q$141)/Q675+(SUM(Datasheet!Q1218,Datasheet!Q1231)*Q$146)/Q675+(MAX(Q$149,Q$153)*SUM(Datasheet!Q1034,Datasheet!Q1060,Datasheet!Q1073,Datasheet!Q1086)/SUM(Datasheet!Q$1023,Datasheet!Q$1049,Datasheet!Q$1062,Datasheet!Q$1075)*Q$151)/Q675+(Datasheet!Q1251*Q$163)/Q675+Q$165/12</f>
        <v>805.3919262078465</v>
      </c>
      <c r="R181" s="97">
        <f>(SUM(Datasheet!R1191,Datasheet!R1204)*R$141)/R675+(SUM(Datasheet!R1218,Datasheet!R1231)*R$146)/R675+(MAX(R$149,R$153)*SUM(Datasheet!R1034,Datasheet!R1060,Datasheet!R1073,Datasheet!R1086)/SUM(Datasheet!R$1023,Datasheet!R$1049,Datasheet!R$1062,Datasheet!R$1075)*R$151)/R675+(Datasheet!R1251*R$163)/R675+R$165/12</f>
        <v>769.07679033917259</v>
      </c>
      <c r="S181" s="97">
        <f>(SUM(Datasheet!S1191,Datasheet!S1204)*S$141)/S675+(SUM(Datasheet!S1218,Datasheet!S1231)*S$146)/S675+(MAX(S$149,S$153)*SUM(Datasheet!S1034,Datasheet!S1060,Datasheet!S1073,Datasheet!S1086)/SUM(Datasheet!S$1023,Datasheet!S$1049,Datasheet!S$1062,Datasheet!S$1075)*S$151)/S675+(Datasheet!S1251*S$163)/S675+S$165/12</f>
        <v>746.6368884204054</v>
      </c>
      <c r="T181" s="97">
        <f>(SUM(Datasheet!T1191,Datasheet!T1204)*T$141)/T675+(SUM(Datasheet!T1218,Datasheet!T1231)*T$146)/T675+(MAX(T$149,T$153)*SUM(Datasheet!T1034,Datasheet!T1060,Datasheet!T1073,Datasheet!T1086)/SUM(Datasheet!T$1023,Datasheet!T$1049,Datasheet!T$1062,Datasheet!T$1075)*T$151)/T675+(Datasheet!T1251*T$163)/T675+T$165/12</f>
        <v>754.19205043098111</v>
      </c>
      <c r="U181" s="97">
        <f>(SUM(Datasheet!U1191,Datasheet!U1204)*U$141)/U675+(SUM(Datasheet!U1218,Datasheet!U1231)*U$146)/U675+(MAX(U$149,U$153)*SUM(Datasheet!U1034,Datasheet!U1060,Datasheet!U1073,Datasheet!U1086)/SUM(Datasheet!U$1023,Datasheet!U$1049,Datasheet!U$1062,Datasheet!U$1075)*U$151)/U675+(Datasheet!U1251*U$163)/U675+U$165/12</f>
        <v>766.27912463935763</v>
      </c>
      <c r="V181" s="97">
        <f>(SUM(Datasheet!V1191,Datasheet!V1204)*V$141)/V675+(SUM(Datasheet!V1218,Datasheet!V1231)*V$146)/V675+(MAX(V$149,V$153)*SUM(Datasheet!V1034,Datasheet!V1060,Datasheet!V1073,Datasheet!V1086)/SUM(Datasheet!V$1023,Datasheet!V$1049,Datasheet!V$1062,Datasheet!V$1075)*V$151)/V675+(Datasheet!V1251*V$163)/V675+V$165/12</f>
        <v>802.74413946857817</v>
      </c>
      <c r="W181" s="97">
        <f>(SUM(Datasheet!W1191,Datasheet!W1204)*W$141)/W675+(SUM(Datasheet!W1218,Datasheet!W1231)*W$146)/W675+(MAX(W$149,W$153)*SUM(Datasheet!W1034,Datasheet!W1060,Datasheet!W1073,Datasheet!W1086)/SUM(Datasheet!W$1023,Datasheet!W$1049,Datasheet!W$1062,Datasheet!W$1075)*W$151)/W675+(Datasheet!W1251*W$163)/W675+W$165/12</f>
        <v>828.04867966658264</v>
      </c>
      <c r="X181" s="97">
        <f>(SUM(Datasheet!X1191,Datasheet!X1204)*X$141)/X675+(SUM(Datasheet!X1218,Datasheet!X1231)*X$146)/X675+(MAX(X$149,X$153)*SUM(Datasheet!X1034,Datasheet!X1060,Datasheet!X1073,Datasheet!X1086)/SUM(Datasheet!X$1023,Datasheet!X$1049,Datasheet!X$1062,Datasheet!X$1075)*X$151)/X675+(Datasheet!X1251*X$163)/X675+X$165/12</f>
        <v>896.71622675036087</v>
      </c>
      <c r="Y181" s="97">
        <f>(SUM(Datasheet!Y1191,Datasheet!Y1204)*Y$141)/Y675+(SUM(Datasheet!Y1218,Datasheet!Y1231)*Y$146)/Y675+(MAX(Y$149,Y$153)*SUM(Datasheet!Y1034,Datasheet!Y1060,Datasheet!Y1073,Datasheet!Y1086)/SUM(Datasheet!Y$1023,Datasheet!Y$1049,Datasheet!Y$1062,Datasheet!Y$1075)*Y$151)/Y675+(Datasheet!Y1251*Y$163)/Y675+Y$165/12</f>
        <v>929.78827923032031</v>
      </c>
      <c r="Z181" s="97">
        <f>(SUM(Datasheet!Z1191,Datasheet!Z1204)*Z$141)/Z675+(SUM(Datasheet!Z1218,Datasheet!Z1231)*Z$146)/Z675+(MAX(Z$149,Z$153)*SUM(Datasheet!Z1034,Datasheet!Z1060,Datasheet!Z1073,Datasheet!Z1086)/SUM(Datasheet!Z$1023,Datasheet!Z$1049,Datasheet!Z$1062,Datasheet!Z$1075)*Z$151)/Z675+(Datasheet!Z1251*Z$163)/Z675+Z$165/12</f>
        <v>945.10968723903648</v>
      </c>
      <c r="AA181" s="97" t="e">
        <f>(SUM(Datasheet!AA1191,Datasheet!AA1204)*AA$141)/AA675+(SUM(Datasheet!AA1218,Datasheet!AA1231)*AA$146)/AA675+(MAX(AA$149,AA$153)*SUM(Datasheet!AA1034,Datasheet!AA1060,Datasheet!AA1073,Datasheet!AA1086)/SUM(Datasheet!AA$1023,Datasheet!AA$1049,Datasheet!AA$1062,Datasheet!AA$1075)*AA$151)/AA675+(Datasheet!AA1251*AA$163)/AA675+AA$165/12</f>
        <v>#DIV/0!</v>
      </c>
      <c r="AB181" s="97" t="e">
        <f>(SUM(Datasheet!AB1191,Datasheet!AB1204)*AB$141)/AB675+(SUM(Datasheet!AB1218,Datasheet!AB1231)*AB$146)/AB675+(MAX(AB$149,AB$153)*SUM(Datasheet!AB1034,Datasheet!AB1060,Datasheet!AB1073,Datasheet!AB1086)/SUM(Datasheet!AB$1023,Datasheet!AB$1049,Datasheet!AB$1062,Datasheet!AB$1075)*AB$151)/AB675+(Datasheet!AB1251*AB$163)/AB675+AB$165/12</f>
        <v>#DIV/0!</v>
      </c>
      <c r="AC181" s="97" t="e">
        <f>(SUM(Datasheet!AC1191,Datasheet!AC1204)*AC$141)/AC675+(SUM(Datasheet!AC1218,Datasheet!AC1231)*AC$146)/AC675+(MAX(AC$149,AC$153)*SUM(Datasheet!AC1034,Datasheet!AC1060,Datasheet!AC1073,Datasheet!AC1086)/SUM(Datasheet!AC$1023,Datasheet!AC$1049,Datasheet!AC$1062,Datasheet!AC$1075)*AC$151)/AC675+(Datasheet!AC1251*AC$163)/AC675+AC$165/12</f>
        <v>#DIV/0!</v>
      </c>
      <c r="AD181" s="97" t="e">
        <f>(SUM(Datasheet!AD1191,Datasheet!AD1204)*AD$141)/AD675+(SUM(Datasheet!AD1218,Datasheet!AD1231)*AD$146)/AD675+(MAX(AD$149,AD$153)*SUM(Datasheet!AD1034,Datasheet!AD1060,Datasheet!AD1073,Datasheet!AD1086)/SUM(Datasheet!AD$1023,Datasheet!AD$1049,Datasheet!AD$1062,Datasheet!AD$1075)*AD$151)/AD675+(Datasheet!AD1251*AD$163)/AD675+AD$165/12</f>
        <v>#DIV/0!</v>
      </c>
      <c r="AE181" s="97" t="e">
        <f>(SUM(Datasheet!AE1191,Datasheet!AE1204)*AE$141)/AE675+(SUM(Datasheet!AE1218,Datasheet!AE1231)*AE$146)/AE675+(MAX(AE$149,AE$153)*SUM(Datasheet!AE1034,Datasheet!AE1060,Datasheet!AE1073,Datasheet!AE1086)/SUM(Datasheet!AE$1023,Datasheet!AE$1049,Datasheet!AE$1062,Datasheet!AE$1075)*AE$151)/AE675+(Datasheet!AE1251*AE$163)/AE675+AE$165/12</f>
        <v>#DIV/0!</v>
      </c>
      <c r="AF181" s="97" t="e">
        <f>(SUM(Datasheet!AF1191,Datasheet!AF1204)*AF$141)/AF675+(SUM(Datasheet!AF1218,Datasheet!AF1231)*AF$146)/AF675+(MAX(AF$149,AF$153)*SUM(Datasheet!AF1034,Datasheet!AF1060,Datasheet!AF1073,Datasheet!AF1086)/SUM(Datasheet!AF$1023,Datasheet!AF$1049,Datasheet!AF$1062,Datasheet!AF$1075)*AF$151)/AF675+(Datasheet!AF1251*AF$163)/AF675+AF$165/12</f>
        <v>#DIV/0!</v>
      </c>
      <c r="AG181" s="97" t="e">
        <f>(SUM(Datasheet!AG1191,Datasheet!AG1204)*AG$141)/AG675+(SUM(Datasheet!AG1218,Datasheet!AG1231)*AG$146)/AG675+(MAX(AG$149,AG$153)*SUM(Datasheet!AG1034,Datasheet!AG1060,Datasheet!AG1073,Datasheet!AG1086)/SUM(Datasheet!AG$1023,Datasheet!AG$1049,Datasheet!AG$1062,Datasheet!AG$1075)*AG$151)/AG675+(Datasheet!AG1251*AG$163)/AG675+AG$165/12</f>
        <v>#DIV/0!</v>
      </c>
      <c r="AH181" s="97" t="e">
        <f>(SUM(Datasheet!AH1191,Datasheet!AH1204)*AH$141)/AH675+(SUM(Datasheet!AH1218,Datasheet!AH1231)*AH$146)/AH675+(MAX(AH$149,AH$153)*SUM(Datasheet!AH1034,Datasheet!AH1060,Datasheet!AH1073,Datasheet!AH1086)/SUM(Datasheet!AH$1023,Datasheet!AH$1049,Datasheet!AH$1062,Datasheet!AH$1075)*AH$151)/AH675+(Datasheet!AH1251*AH$163)/AH675+AH$165/12</f>
        <v>#DIV/0!</v>
      </c>
      <c r="AI181" s="97" t="e">
        <f>(SUM(Datasheet!AI1191,Datasheet!AI1204)*AI$141)/AI675+(SUM(Datasheet!AI1218,Datasheet!AI1231)*AI$146)/AI675+(MAX(AI$149,AI$153)*SUM(Datasheet!AI1034,Datasheet!AI1060,Datasheet!AI1073,Datasheet!AI1086)/SUM(Datasheet!AI$1023,Datasheet!AI$1049,Datasheet!AI$1062,Datasheet!AI$1075)*AI$151)/AI675+(Datasheet!AI1251*AI$163)/AI675+AI$165/12</f>
        <v>#DIV/0!</v>
      </c>
      <c r="AJ181" s="97" t="e">
        <f>(SUM(Datasheet!AJ1191,Datasheet!AJ1204)*AJ$141)/AJ675+(SUM(Datasheet!AJ1218,Datasheet!AJ1231)*AJ$146)/AJ675+(MAX(AJ$149,AJ$153)*SUM(Datasheet!AJ1034,Datasheet!AJ1060,Datasheet!AJ1073,Datasheet!AJ1086)/SUM(Datasheet!AJ$1023,Datasheet!AJ$1049,Datasheet!AJ$1062,Datasheet!AJ$1075)*AJ$151)/AJ675+(Datasheet!AJ1251*AJ$163)/AJ675+AJ$165/12</f>
        <v>#DIV/0!</v>
      </c>
      <c r="AK181" s="97" t="e">
        <f>(SUM(Datasheet!AK1191,Datasheet!AK1204)*AK$141)/AK675+(SUM(Datasheet!AK1218,Datasheet!AK1231)*AK$146)/AK675+(MAX(AK$149,AK$153)*SUM(Datasheet!AK1034,Datasheet!AK1060,Datasheet!AK1073,Datasheet!AK1086)/SUM(Datasheet!AK$1023,Datasheet!AK$1049,Datasheet!AK$1062,Datasheet!AK$1075)*AK$151)/AK675+(Datasheet!AK1251*AK$163)/AK675+AK$165/12</f>
        <v>#DIV/0!</v>
      </c>
    </row>
    <row r="182" spans="1:37" s="97" customFormat="1" x14ac:dyDescent="0.25">
      <c r="E182" s="102" t="s">
        <v>325</v>
      </c>
      <c r="H182" s="97" t="s">
        <v>1296</v>
      </c>
      <c r="Q182" s="97">
        <f>(SUM(Datasheet!Q1192,Datasheet!Q1205)*Q$141)/Q676+(SUM(Datasheet!Q1219,Datasheet!Q1232)*Q$146)/Q676+(MAX(Q$149,Q$153)*SUM(Datasheet!Q1035,Datasheet!Q1061,Datasheet!Q1074,Datasheet!Q1087)/SUM(Datasheet!Q$1023,Datasheet!Q$1049,Datasheet!Q$1062,Datasheet!Q$1075)*Q$151)/Q676+(Datasheet!Q1252*Q$163)/Q676+Q$165/12</f>
        <v>805.4880822175943</v>
      </c>
      <c r="R182" s="97">
        <f>(SUM(Datasheet!R1192,Datasheet!R1205)*R$141)/R676+(SUM(Datasheet!R1219,Datasheet!R1232)*R$146)/R676+(MAX(R$149,R$153)*SUM(Datasheet!R1035,Datasheet!R1061,Datasheet!R1074,Datasheet!R1087)/SUM(Datasheet!R$1023,Datasheet!R$1049,Datasheet!R$1062,Datasheet!R$1075)*R$151)/R676+(Datasheet!R1252*R$163)/R676+R$165/12</f>
        <v>769.15639771137683</v>
      </c>
      <c r="S182" s="97">
        <f>(SUM(Datasheet!S1192,Datasheet!S1205)*S$141)/S676+(SUM(Datasheet!S1219,Datasheet!S1232)*S$146)/S676+(MAX(S$149,S$153)*SUM(Datasheet!S1035,Datasheet!S1061,Datasheet!S1074,Datasheet!S1087)/SUM(Datasheet!S$1023,Datasheet!S$1049,Datasheet!S$1062,Datasheet!S$1075)*S$151)/S676+(Datasheet!S1252*S$163)/S676+S$165/12</f>
        <v>746.66140456826543</v>
      </c>
      <c r="T182" s="97">
        <f>(SUM(Datasheet!T1192,Datasheet!T1205)*T$141)/T676+(SUM(Datasheet!T1219,Datasheet!T1232)*T$146)/T676+(MAX(T$149,T$153)*SUM(Datasheet!T1035,Datasheet!T1061,Datasheet!T1074,Datasheet!T1087)/SUM(Datasheet!T$1023,Datasheet!T$1049,Datasheet!T$1062,Datasheet!T$1075)*T$151)/T676+(Datasheet!T1252*T$163)/T676+T$165/12</f>
        <v>754.21312023466135</v>
      </c>
      <c r="U182" s="97">
        <f>(SUM(Datasheet!U1192,Datasheet!U1205)*U$141)/U676+(SUM(Datasheet!U1219,Datasheet!U1232)*U$146)/U676+(MAX(U$149,U$153)*SUM(Datasheet!U1035,Datasheet!U1061,Datasheet!U1074,Datasheet!U1087)/SUM(Datasheet!U$1023,Datasheet!U$1049,Datasheet!U$1062,Datasheet!U$1075)*U$151)/U676+(Datasheet!U1252*U$163)/U676+U$165/12</f>
        <v>766.28772010438809</v>
      </c>
      <c r="V182" s="97">
        <f>(SUM(Datasheet!V1192,Datasheet!V1205)*V$141)/V676+(SUM(Datasheet!V1219,Datasheet!V1232)*V$146)/V676+(MAX(V$149,V$153)*SUM(Datasheet!V1035,Datasheet!V1061,Datasheet!V1074,Datasheet!V1087)/SUM(Datasheet!V$1023,Datasheet!V$1049,Datasheet!V$1062,Datasheet!V$1075)*V$151)/V676+(Datasheet!V1252*V$163)/V676+V$165/12</f>
        <v>802.80524246524146</v>
      </c>
      <c r="W182" s="97">
        <f>(SUM(Datasheet!W1192,Datasheet!W1205)*W$141)/W676+(SUM(Datasheet!W1219,Datasheet!W1232)*W$146)/W676+(MAX(W$149,W$153)*SUM(Datasheet!W1035,Datasheet!W1061,Datasheet!W1074,Datasheet!W1087)/SUM(Datasheet!W$1023,Datasheet!W$1049,Datasheet!W$1062,Datasheet!W$1075)*W$151)/W676+(Datasheet!W1252*W$163)/W676+W$165/12</f>
        <v>828.09689291428026</v>
      </c>
      <c r="X182" s="97">
        <f>(SUM(Datasheet!X1192,Datasheet!X1205)*X$141)/X676+(SUM(Datasheet!X1219,Datasheet!X1232)*X$146)/X676+(MAX(X$149,X$153)*SUM(Datasheet!X1035,Datasheet!X1061,Datasheet!X1074,Datasheet!X1087)/SUM(Datasheet!X$1023,Datasheet!X$1049,Datasheet!X$1062,Datasheet!X$1075)*X$151)/X676+(Datasheet!X1252*X$163)/X676+X$165/12</f>
        <v>896.70566417703253</v>
      </c>
      <c r="Y182" s="97">
        <f>(SUM(Datasheet!Y1192,Datasheet!Y1205)*Y$141)/Y676+(SUM(Datasheet!Y1219,Datasheet!Y1232)*Y$146)/Y676+(MAX(Y$149,Y$153)*SUM(Datasheet!Y1035,Datasheet!Y1061,Datasheet!Y1074,Datasheet!Y1087)/SUM(Datasheet!Y$1023,Datasheet!Y$1049,Datasheet!Y$1062,Datasheet!Y$1075)*Y$151)/Y676+(Datasheet!Y1252*Y$163)/Y676+Y$165/12</f>
        <v>929.79319054935161</v>
      </c>
      <c r="Z182" s="97">
        <f>(SUM(Datasheet!Z1192,Datasheet!Z1205)*Z$141)/Z676+(SUM(Datasheet!Z1219,Datasheet!Z1232)*Z$146)/Z676+(MAX(Z$149,Z$153)*SUM(Datasheet!Z1035,Datasheet!Z1061,Datasheet!Z1074,Datasheet!Z1087)/SUM(Datasheet!Z$1023,Datasheet!Z$1049,Datasheet!Z$1062,Datasheet!Z$1075)*Z$151)/Z676+(Datasheet!Z1252*Z$163)/Z676+Z$165/12</f>
        <v>945.12083432765291</v>
      </c>
      <c r="AA182" s="97" t="e">
        <f>(SUM(Datasheet!AA1192,Datasheet!AA1205)*AA$141)/AA676+(SUM(Datasheet!AA1219,Datasheet!AA1232)*AA$146)/AA676+(MAX(AA$149,AA$153)*SUM(Datasheet!AA1035,Datasheet!AA1061,Datasheet!AA1074,Datasheet!AA1087)/SUM(Datasheet!AA$1023,Datasheet!AA$1049,Datasheet!AA$1062,Datasheet!AA$1075)*AA$151)/AA676+(Datasheet!AA1252*AA$163)/AA676+AA$165/12</f>
        <v>#DIV/0!</v>
      </c>
      <c r="AB182" s="97" t="e">
        <f>(SUM(Datasheet!AB1192,Datasheet!AB1205)*AB$141)/AB676+(SUM(Datasheet!AB1219,Datasheet!AB1232)*AB$146)/AB676+(MAX(AB$149,AB$153)*SUM(Datasheet!AB1035,Datasheet!AB1061,Datasheet!AB1074,Datasheet!AB1087)/SUM(Datasheet!AB$1023,Datasheet!AB$1049,Datasheet!AB$1062,Datasheet!AB$1075)*AB$151)/AB676+(Datasheet!AB1252*AB$163)/AB676+AB$165/12</f>
        <v>#DIV/0!</v>
      </c>
      <c r="AC182" s="97" t="e">
        <f>(SUM(Datasheet!AC1192,Datasheet!AC1205)*AC$141)/AC676+(SUM(Datasheet!AC1219,Datasheet!AC1232)*AC$146)/AC676+(MAX(AC$149,AC$153)*SUM(Datasheet!AC1035,Datasheet!AC1061,Datasheet!AC1074,Datasheet!AC1087)/SUM(Datasheet!AC$1023,Datasheet!AC$1049,Datasheet!AC$1062,Datasheet!AC$1075)*AC$151)/AC676+(Datasheet!AC1252*AC$163)/AC676+AC$165/12</f>
        <v>#DIV/0!</v>
      </c>
      <c r="AD182" s="97" t="e">
        <f>(SUM(Datasheet!AD1192,Datasheet!AD1205)*AD$141)/AD676+(SUM(Datasheet!AD1219,Datasheet!AD1232)*AD$146)/AD676+(MAX(AD$149,AD$153)*SUM(Datasheet!AD1035,Datasheet!AD1061,Datasheet!AD1074,Datasheet!AD1087)/SUM(Datasheet!AD$1023,Datasheet!AD$1049,Datasheet!AD$1062,Datasheet!AD$1075)*AD$151)/AD676+(Datasheet!AD1252*AD$163)/AD676+AD$165/12</f>
        <v>#DIV/0!</v>
      </c>
      <c r="AE182" s="97" t="e">
        <f>(SUM(Datasheet!AE1192,Datasheet!AE1205)*AE$141)/AE676+(SUM(Datasheet!AE1219,Datasheet!AE1232)*AE$146)/AE676+(MAX(AE$149,AE$153)*SUM(Datasheet!AE1035,Datasheet!AE1061,Datasheet!AE1074,Datasheet!AE1087)/SUM(Datasheet!AE$1023,Datasheet!AE$1049,Datasheet!AE$1062,Datasheet!AE$1075)*AE$151)/AE676+(Datasheet!AE1252*AE$163)/AE676+AE$165/12</f>
        <v>#DIV/0!</v>
      </c>
      <c r="AF182" s="97" t="e">
        <f>(SUM(Datasheet!AF1192,Datasheet!AF1205)*AF$141)/AF676+(SUM(Datasheet!AF1219,Datasheet!AF1232)*AF$146)/AF676+(MAX(AF$149,AF$153)*SUM(Datasheet!AF1035,Datasheet!AF1061,Datasheet!AF1074,Datasheet!AF1087)/SUM(Datasheet!AF$1023,Datasheet!AF$1049,Datasheet!AF$1062,Datasheet!AF$1075)*AF$151)/AF676+(Datasheet!AF1252*AF$163)/AF676+AF$165/12</f>
        <v>#DIV/0!</v>
      </c>
      <c r="AG182" s="97" t="e">
        <f>(SUM(Datasheet!AG1192,Datasheet!AG1205)*AG$141)/AG676+(SUM(Datasheet!AG1219,Datasheet!AG1232)*AG$146)/AG676+(MAX(AG$149,AG$153)*SUM(Datasheet!AG1035,Datasheet!AG1061,Datasheet!AG1074,Datasheet!AG1087)/SUM(Datasheet!AG$1023,Datasheet!AG$1049,Datasheet!AG$1062,Datasheet!AG$1075)*AG$151)/AG676+(Datasheet!AG1252*AG$163)/AG676+AG$165/12</f>
        <v>#DIV/0!</v>
      </c>
      <c r="AH182" s="97" t="e">
        <f>(SUM(Datasheet!AH1192,Datasheet!AH1205)*AH$141)/AH676+(SUM(Datasheet!AH1219,Datasheet!AH1232)*AH$146)/AH676+(MAX(AH$149,AH$153)*SUM(Datasheet!AH1035,Datasheet!AH1061,Datasheet!AH1074,Datasheet!AH1087)/SUM(Datasheet!AH$1023,Datasheet!AH$1049,Datasheet!AH$1062,Datasheet!AH$1075)*AH$151)/AH676+(Datasheet!AH1252*AH$163)/AH676+AH$165/12</f>
        <v>#DIV/0!</v>
      </c>
      <c r="AI182" s="97" t="e">
        <f>(SUM(Datasheet!AI1192,Datasheet!AI1205)*AI$141)/AI676+(SUM(Datasheet!AI1219,Datasheet!AI1232)*AI$146)/AI676+(MAX(AI$149,AI$153)*SUM(Datasheet!AI1035,Datasheet!AI1061,Datasheet!AI1074,Datasheet!AI1087)/SUM(Datasheet!AI$1023,Datasheet!AI$1049,Datasheet!AI$1062,Datasheet!AI$1075)*AI$151)/AI676+(Datasheet!AI1252*AI$163)/AI676+AI$165/12</f>
        <v>#DIV/0!</v>
      </c>
      <c r="AJ182" s="97" t="e">
        <f>(SUM(Datasheet!AJ1192,Datasheet!AJ1205)*AJ$141)/AJ676+(SUM(Datasheet!AJ1219,Datasheet!AJ1232)*AJ$146)/AJ676+(MAX(AJ$149,AJ$153)*SUM(Datasheet!AJ1035,Datasheet!AJ1061,Datasheet!AJ1074,Datasheet!AJ1087)/SUM(Datasheet!AJ$1023,Datasheet!AJ$1049,Datasheet!AJ$1062,Datasheet!AJ$1075)*AJ$151)/AJ676+(Datasheet!AJ1252*AJ$163)/AJ676+AJ$165/12</f>
        <v>#DIV/0!</v>
      </c>
      <c r="AK182" s="97" t="e">
        <f>(SUM(Datasheet!AK1192,Datasheet!AK1205)*AK$141)/AK676+(SUM(Datasheet!AK1219,Datasheet!AK1232)*AK$146)/AK676+(MAX(AK$149,AK$153)*SUM(Datasheet!AK1035,Datasheet!AK1061,Datasheet!AK1074,Datasheet!AK1087)/SUM(Datasheet!AK$1023,Datasheet!AK$1049,Datasheet!AK$1062,Datasheet!AK$1075)*AK$151)/AK676+(Datasheet!AK1252*AK$163)/AK676+AK$165/12</f>
        <v>#DIV/0!</v>
      </c>
    </row>
    <row r="183" spans="1:37" s="93" customFormat="1" x14ac:dyDescent="0.25">
      <c r="B183" s="94"/>
      <c r="C183" s="95"/>
      <c r="I183" s="96"/>
      <c r="J183" s="96"/>
      <c r="K183" s="96"/>
      <c r="L183" s="96"/>
      <c r="M183" s="96"/>
      <c r="N183" s="96"/>
      <c r="O183" s="96"/>
      <c r="P183" s="96"/>
      <c r="Q183" s="96"/>
      <c r="R183" s="96"/>
      <c r="S183" s="96"/>
      <c r="T183" s="96"/>
      <c r="U183" s="96"/>
      <c r="V183" s="96"/>
      <c r="W183" s="96"/>
      <c r="X183" s="96"/>
      <c r="Y183" s="96"/>
      <c r="Z183" s="96"/>
      <c r="AA183" s="96"/>
      <c r="AB183" s="96"/>
      <c r="AC183" s="96"/>
      <c r="AD183" s="96"/>
      <c r="AE183" s="96"/>
      <c r="AF183" s="96"/>
      <c r="AG183" s="96"/>
      <c r="AH183" s="96"/>
      <c r="AI183" s="96"/>
      <c r="AJ183" s="96"/>
      <c r="AK183" s="96"/>
    </row>
    <row r="184" spans="1:37" s="93" customFormat="1" x14ac:dyDescent="0.25">
      <c r="B184" s="94"/>
      <c r="C184" s="95"/>
      <c r="I184" s="96"/>
      <c r="J184" s="96"/>
      <c r="K184" s="96"/>
      <c r="L184" s="96"/>
      <c r="M184" s="96"/>
      <c r="N184" s="96"/>
      <c r="O184" s="96"/>
      <c r="P184" s="96"/>
      <c r="Q184" s="96"/>
      <c r="R184" s="96"/>
      <c r="S184" s="96"/>
      <c r="T184" s="96"/>
      <c r="U184" s="96"/>
      <c r="V184" s="96"/>
      <c r="W184" s="96"/>
      <c r="X184" s="96"/>
      <c r="Y184" s="96"/>
      <c r="Z184" s="96"/>
      <c r="AA184" s="96"/>
      <c r="AB184" s="96"/>
      <c r="AC184" s="96"/>
      <c r="AD184" s="96"/>
      <c r="AE184" s="96"/>
      <c r="AF184" s="96"/>
      <c r="AG184" s="96"/>
      <c r="AH184" s="96"/>
      <c r="AI184" s="96"/>
      <c r="AJ184" s="96"/>
      <c r="AK184" s="96"/>
    </row>
    <row r="185" spans="1:37" s="81" customFormat="1" ht="17.25" x14ac:dyDescent="0.3">
      <c r="A185" s="81" t="s">
        <v>428</v>
      </c>
    </row>
    <row r="186" spans="1:37" x14ac:dyDescent="0.25">
      <c r="B186" s="64" t="s">
        <v>33</v>
      </c>
      <c r="C186" t="s">
        <v>336</v>
      </c>
    </row>
    <row r="187" spans="1:37" x14ac:dyDescent="0.25">
      <c r="B187" s="64" t="s">
        <v>626</v>
      </c>
      <c r="C187" t="s">
        <v>823</v>
      </c>
    </row>
    <row r="188" spans="1:37" x14ac:dyDescent="0.25">
      <c r="B188" s="64" t="s">
        <v>420</v>
      </c>
      <c r="C188" t="s">
        <v>824</v>
      </c>
    </row>
    <row r="189" spans="1:37" x14ac:dyDescent="0.25">
      <c r="B189" s="64" t="s">
        <v>429</v>
      </c>
      <c r="C189" s="195" t="s">
        <v>22</v>
      </c>
    </row>
    <row r="190" spans="1:37" x14ac:dyDescent="0.25">
      <c r="B190" s="64" t="s">
        <v>421</v>
      </c>
      <c r="C190" t="s">
        <v>825</v>
      </c>
    </row>
    <row r="191" spans="1:37" x14ac:dyDescent="0.25">
      <c r="B191" s="64" t="s">
        <v>425</v>
      </c>
      <c r="C191" t="s">
        <v>826</v>
      </c>
    </row>
    <row r="192" spans="1:37" x14ac:dyDescent="0.25">
      <c r="B192" s="64" t="s">
        <v>333</v>
      </c>
      <c r="C192" t="s">
        <v>827</v>
      </c>
    </row>
    <row r="193" spans="2:37" x14ac:dyDescent="0.25">
      <c r="B193" s="64"/>
      <c r="C193" t="s">
        <v>828</v>
      </c>
    </row>
    <row r="194" spans="2:37" s="83" customFormat="1" ht="15.75" thickBot="1" x14ac:dyDescent="0.3">
      <c r="B194" s="84" t="s">
        <v>334</v>
      </c>
      <c r="C194" s="83" t="s">
        <v>829</v>
      </c>
    </row>
    <row r="195" spans="2:37" s="9" customFormat="1" ht="15.75" thickTop="1" x14ac:dyDescent="0.25">
      <c r="B195" s="66"/>
      <c r="C195" s="51"/>
      <c r="I195" s="85"/>
      <c r="J195" s="85"/>
      <c r="K195" s="85"/>
      <c r="L195" s="85"/>
      <c r="M195" s="85"/>
      <c r="N195" s="85"/>
      <c r="O195" s="85"/>
      <c r="P195" s="85"/>
      <c r="Q195" s="85"/>
      <c r="R195" s="85"/>
      <c r="S195" s="85"/>
      <c r="T195" s="85"/>
      <c r="U195" s="85"/>
      <c r="V195" s="85"/>
      <c r="W195" s="85"/>
      <c r="X195" s="85"/>
      <c r="Y195" s="85"/>
      <c r="Z195" s="85"/>
      <c r="AA195" s="85"/>
      <c r="AB195" s="85"/>
      <c r="AC195" s="85"/>
      <c r="AD195" s="85"/>
      <c r="AE195" s="85"/>
      <c r="AF195" s="85"/>
      <c r="AG195" s="85"/>
      <c r="AH195" s="85"/>
      <c r="AI195" s="85"/>
      <c r="AJ195" s="85"/>
      <c r="AK195" s="85"/>
    </row>
    <row r="196" spans="2:37" s="9" customFormat="1" x14ac:dyDescent="0.25">
      <c r="B196" s="66"/>
      <c r="C196" s="51"/>
      <c r="I196" s="85"/>
      <c r="J196" s="85"/>
      <c r="K196" s="85"/>
      <c r="L196" s="85"/>
      <c r="M196" s="85"/>
      <c r="N196" s="85"/>
      <c r="O196" s="85"/>
      <c r="P196" s="85"/>
      <c r="Q196" s="85"/>
      <c r="R196" s="85"/>
      <c r="S196" s="85"/>
      <c r="T196" s="85"/>
      <c r="U196" s="85"/>
      <c r="V196" s="85"/>
      <c r="W196" s="85"/>
      <c r="X196" s="85"/>
      <c r="Y196" s="85"/>
      <c r="Z196" s="85"/>
      <c r="AA196" s="85"/>
      <c r="AB196" s="85"/>
      <c r="AC196" s="85"/>
      <c r="AD196" s="85"/>
      <c r="AE196" s="85"/>
      <c r="AF196" s="85"/>
      <c r="AG196" s="85"/>
      <c r="AH196" s="85"/>
      <c r="AI196" s="85"/>
      <c r="AJ196" s="85"/>
      <c r="AK196" s="85"/>
    </row>
    <row r="197" spans="2:37" s="9" customFormat="1" x14ac:dyDescent="0.25">
      <c r="B197" s="66"/>
      <c r="C197" s="51"/>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c r="AG197" s="85"/>
      <c r="AH197" s="85"/>
      <c r="AI197" s="85"/>
      <c r="AJ197" s="85"/>
      <c r="AK197" s="85"/>
    </row>
    <row r="198" spans="2:37" s="9" customFormat="1" x14ac:dyDescent="0.25">
      <c r="B198" s="66"/>
      <c r="C198" s="51"/>
      <c r="I198" s="85"/>
      <c r="J198" s="85"/>
      <c r="K198" s="85"/>
      <c r="L198" s="85"/>
      <c r="M198" s="85"/>
      <c r="N198" s="85"/>
      <c r="O198" s="85"/>
      <c r="P198" s="85"/>
      <c r="Q198" s="85"/>
      <c r="R198" s="85"/>
      <c r="S198" s="85"/>
      <c r="T198" s="85"/>
      <c r="U198" s="85"/>
      <c r="V198" s="85"/>
      <c r="W198" s="85"/>
      <c r="X198" s="85"/>
      <c r="Y198" s="85"/>
      <c r="Z198" s="85"/>
      <c r="AA198" s="85"/>
      <c r="AB198" s="85"/>
      <c r="AC198" s="85"/>
      <c r="AD198" s="85"/>
      <c r="AE198" s="85"/>
      <c r="AF198" s="85"/>
      <c r="AG198" s="85"/>
      <c r="AH198" s="85"/>
      <c r="AI198" s="85"/>
      <c r="AJ198" s="85"/>
      <c r="AK198" s="85"/>
    </row>
    <row r="199" spans="2:37" s="9" customFormat="1" x14ac:dyDescent="0.25">
      <c r="B199" s="66"/>
      <c r="C199" s="51"/>
      <c r="I199" s="85"/>
      <c r="J199" s="85"/>
      <c r="K199" s="85"/>
      <c r="L199" s="85"/>
      <c r="M199" s="85"/>
      <c r="N199" s="85"/>
      <c r="O199" s="85"/>
      <c r="P199" s="85"/>
      <c r="Q199" s="85"/>
      <c r="R199" s="85"/>
      <c r="S199" s="85"/>
      <c r="T199" s="85"/>
      <c r="U199" s="85"/>
      <c r="V199" s="85"/>
      <c r="W199" s="85"/>
      <c r="X199" s="85"/>
      <c r="Y199" s="85"/>
      <c r="Z199" s="85"/>
      <c r="AA199" s="85"/>
      <c r="AB199" s="85"/>
      <c r="AC199" s="85"/>
      <c r="AD199" s="85"/>
      <c r="AE199" s="85"/>
      <c r="AF199" s="85"/>
      <c r="AG199" s="85"/>
      <c r="AH199" s="85"/>
      <c r="AI199" s="85"/>
      <c r="AJ199" s="85"/>
      <c r="AK199" s="85"/>
    </row>
    <row r="200" spans="2:37" s="9" customFormat="1" x14ac:dyDescent="0.25">
      <c r="B200" s="66"/>
      <c r="C200" s="51"/>
      <c r="I200" s="85"/>
      <c r="J200" s="85"/>
      <c r="K200" s="85"/>
      <c r="L200" s="85"/>
      <c r="M200" s="85"/>
      <c r="N200" s="85"/>
      <c r="O200" s="85"/>
      <c r="P200" s="85"/>
      <c r="Q200" s="85"/>
      <c r="R200" s="85"/>
      <c r="S200" s="85"/>
      <c r="T200" s="85"/>
      <c r="U200" s="85"/>
      <c r="V200" s="85"/>
      <c r="W200" s="85"/>
      <c r="X200" s="85"/>
      <c r="Y200" s="85"/>
      <c r="Z200" s="85"/>
      <c r="AA200" s="85"/>
      <c r="AB200" s="85"/>
      <c r="AC200" s="85"/>
      <c r="AD200" s="85"/>
      <c r="AE200" s="85"/>
      <c r="AF200" s="85"/>
      <c r="AG200" s="85"/>
      <c r="AH200" s="85"/>
      <c r="AI200" s="85"/>
      <c r="AJ200" s="85"/>
      <c r="AK200" s="85"/>
    </row>
    <row r="201" spans="2:37" s="9" customFormat="1" x14ac:dyDescent="0.25">
      <c r="B201" s="66"/>
      <c r="C201" s="51"/>
      <c r="I201" s="85"/>
      <c r="J201" s="85"/>
      <c r="K201" s="85"/>
      <c r="L201" s="85"/>
      <c r="M201" s="85"/>
      <c r="N201" s="85"/>
      <c r="O201" s="85"/>
      <c r="P201" s="85"/>
      <c r="Q201" s="85"/>
      <c r="R201" s="85"/>
      <c r="S201" s="85"/>
      <c r="T201" s="85"/>
      <c r="U201" s="85"/>
      <c r="V201" s="85"/>
      <c r="W201" s="85"/>
      <c r="X201" s="85"/>
      <c r="Y201" s="85"/>
      <c r="Z201" s="85"/>
      <c r="AA201" s="85"/>
      <c r="AB201" s="85"/>
      <c r="AC201" s="85"/>
      <c r="AD201" s="85"/>
      <c r="AE201" s="85"/>
      <c r="AF201" s="85"/>
      <c r="AG201" s="85"/>
      <c r="AH201" s="85"/>
      <c r="AI201" s="85"/>
      <c r="AJ201" s="85"/>
      <c r="AK201" s="85"/>
    </row>
    <row r="202" spans="2:37" s="9" customFormat="1" x14ac:dyDescent="0.25">
      <c r="B202" s="66"/>
      <c r="C202" s="51"/>
      <c r="I202" s="85"/>
      <c r="J202" s="85"/>
      <c r="K202" s="85"/>
      <c r="L202" s="85"/>
      <c r="M202" s="85"/>
      <c r="N202" s="85"/>
      <c r="O202" s="85"/>
      <c r="P202" s="85"/>
      <c r="Q202" s="85"/>
      <c r="R202" s="85"/>
      <c r="S202" s="85"/>
      <c r="T202" s="85"/>
      <c r="U202" s="85"/>
      <c r="V202" s="85"/>
      <c r="W202" s="85"/>
      <c r="X202" s="85"/>
      <c r="Y202" s="85"/>
      <c r="Z202" s="85"/>
      <c r="AA202" s="85"/>
      <c r="AB202" s="85"/>
      <c r="AC202" s="85"/>
      <c r="AD202" s="85"/>
      <c r="AE202" s="85"/>
      <c r="AF202" s="85"/>
      <c r="AG202" s="85"/>
      <c r="AH202" s="85"/>
      <c r="AI202" s="85"/>
      <c r="AJ202" s="85"/>
      <c r="AK202" s="85"/>
    </row>
    <row r="203" spans="2:37" s="9" customFormat="1" x14ac:dyDescent="0.25">
      <c r="B203" s="66"/>
      <c r="C203" s="51"/>
      <c r="I203" s="85"/>
      <c r="J203" s="85"/>
      <c r="K203" s="85"/>
      <c r="L203" s="85"/>
      <c r="M203" s="85"/>
      <c r="N203" s="85"/>
      <c r="O203" s="85"/>
      <c r="P203" s="85"/>
      <c r="Q203" s="85"/>
      <c r="R203" s="85"/>
      <c r="S203" s="85"/>
      <c r="T203" s="85"/>
      <c r="U203" s="85"/>
      <c r="V203" s="85"/>
      <c r="W203" s="85"/>
      <c r="X203" s="85"/>
      <c r="Y203" s="85"/>
      <c r="Z203" s="85"/>
      <c r="AA203" s="85"/>
      <c r="AB203" s="85"/>
      <c r="AC203" s="85"/>
      <c r="AD203" s="85"/>
      <c r="AE203" s="85"/>
      <c r="AF203" s="85"/>
      <c r="AG203" s="85"/>
      <c r="AH203" s="85"/>
      <c r="AI203" s="85"/>
      <c r="AJ203" s="85"/>
      <c r="AK203" s="85"/>
    </row>
    <row r="204" spans="2:37" s="9" customFormat="1" x14ac:dyDescent="0.25">
      <c r="B204" s="66"/>
      <c r="C204" s="51"/>
      <c r="I204" s="85"/>
      <c r="J204" s="85"/>
      <c r="K204" s="85"/>
      <c r="L204" s="85"/>
      <c r="M204" s="85"/>
      <c r="N204" s="85"/>
      <c r="O204" s="85"/>
      <c r="P204" s="85"/>
      <c r="Q204" s="85"/>
      <c r="R204" s="85"/>
      <c r="S204" s="85"/>
      <c r="T204" s="85"/>
      <c r="U204" s="85"/>
      <c r="V204" s="85"/>
      <c r="W204" s="85"/>
      <c r="X204" s="85"/>
      <c r="Y204" s="85"/>
      <c r="Z204" s="85"/>
      <c r="AA204" s="85"/>
      <c r="AB204" s="85"/>
      <c r="AC204" s="85"/>
      <c r="AD204" s="85"/>
      <c r="AE204" s="85"/>
      <c r="AF204" s="85"/>
      <c r="AG204" s="85"/>
      <c r="AH204" s="85"/>
      <c r="AI204" s="85"/>
      <c r="AJ204" s="85"/>
      <c r="AK204" s="85"/>
    </row>
    <row r="205" spans="2:37" s="9" customFormat="1" x14ac:dyDescent="0.25">
      <c r="B205" s="66"/>
      <c r="C205" s="51"/>
      <c r="I205" s="85"/>
      <c r="J205" s="85"/>
      <c r="K205" s="85"/>
      <c r="L205" s="85"/>
      <c r="M205" s="85"/>
      <c r="N205" s="85"/>
      <c r="O205" s="85"/>
      <c r="P205" s="85"/>
      <c r="Q205" s="85"/>
      <c r="R205" s="85"/>
      <c r="S205" s="85"/>
      <c r="T205" s="85"/>
      <c r="U205" s="85"/>
      <c r="V205" s="85"/>
      <c r="W205" s="85"/>
      <c r="X205" s="85"/>
      <c r="Y205" s="85"/>
      <c r="Z205" s="85"/>
      <c r="AA205" s="85"/>
      <c r="AB205" s="85"/>
      <c r="AC205" s="85"/>
      <c r="AD205" s="85"/>
      <c r="AE205" s="85"/>
      <c r="AF205" s="85"/>
      <c r="AG205" s="85"/>
      <c r="AH205" s="85"/>
      <c r="AI205" s="85"/>
      <c r="AJ205" s="85"/>
      <c r="AK205" s="85"/>
    </row>
    <row r="206" spans="2:37" s="9" customFormat="1" x14ac:dyDescent="0.25">
      <c r="B206" s="66"/>
      <c r="C206" s="51"/>
      <c r="I206" s="85"/>
      <c r="J206" s="85"/>
      <c r="K206" s="85"/>
      <c r="L206" s="85"/>
      <c r="M206" s="85"/>
      <c r="N206" s="85"/>
      <c r="O206" s="85"/>
      <c r="P206" s="85"/>
      <c r="Q206" s="85"/>
      <c r="R206" s="85"/>
      <c r="S206" s="85"/>
      <c r="T206" s="85"/>
      <c r="U206" s="85"/>
      <c r="V206" s="85"/>
      <c r="W206" s="85"/>
      <c r="X206" s="85"/>
      <c r="Y206" s="85"/>
      <c r="Z206" s="85"/>
      <c r="AA206" s="85"/>
      <c r="AB206" s="85"/>
      <c r="AC206" s="85"/>
      <c r="AD206" s="85"/>
      <c r="AE206" s="85"/>
      <c r="AF206" s="85"/>
      <c r="AG206" s="85"/>
      <c r="AH206" s="85"/>
      <c r="AI206" s="85"/>
      <c r="AJ206" s="85"/>
      <c r="AK206" s="85"/>
    </row>
    <row r="207" spans="2:37" s="9" customFormat="1" x14ac:dyDescent="0.25">
      <c r="B207" s="66"/>
      <c r="C207" s="51"/>
      <c r="I207" s="85"/>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c r="AG207" s="85"/>
      <c r="AH207" s="85"/>
      <c r="AI207" s="85"/>
      <c r="AJ207" s="85"/>
      <c r="AK207" s="85"/>
    </row>
    <row r="208" spans="2:37" s="9" customFormat="1" x14ac:dyDescent="0.25">
      <c r="B208" s="66"/>
      <c r="C208" s="51"/>
      <c r="I208" s="85"/>
      <c r="J208" s="85"/>
      <c r="K208" s="85"/>
      <c r="L208" s="85"/>
      <c r="M208" s="85"/>
      <c r="N208" s="85"/>
      <c r="O208" s="85"/>
      <c r="P208" s="85"/>
      <c r="Q208" s="85"/>
      <c r="R208" s="85"/>
      <c r="S208" s="85"/>
      <c r="T208" s="85"/>
      <c r="U208" s="85"/>
      <c r="V208" s="85"/>
      <c r="W208" s="85"/>
      <c r="X208" s="85"/>
      <c r="Y208" s="85"/>
      <c r="Z208" s="85"/>
      <c r="AA208" s="85"/>
      <c r="AB208" s="85"/>
      <c r="AC208" s="85"/>
      <c r="AD208" s="85"/>
      <c r="AE208" s="85"/>
      <c r="AF208" s="85"/>
      <c r="AG208" s="85"/>
      <c r="AH208" s="85"/>
      <c r="AI208" s="85"/>
      <c r="AJ208" s="85"/>
      <c r="AK208" s="85"/>
    </row>
    <row r="209" spans="1:37" s="9" customFormat="1" x14ac:dyDescent="0.25">
      <c r="B209" s="66"/>
      <c r="C209" s="51"/>
      <c r="I209" s="85"/>
      <c r="J209" s="85"/>
      <c r="K209" s="85"/>
      <c r="L209" s="85"/>
      <c r="M209" s="85"/>
      <c r="N209" s="85"/>
      <c r="O209" s="85"/>
      <c r="P209" s="85"/>
      <c r="Q209" s="85"/>
      <c r="R209" s="85"/>
      <c r="S209" s="85"/>
      <c r="T209" s="85"/>
      <c r="U209" s="85"/>
      <c r="V209" s="85"/>
      <c r="W209" s="85"/>
      <c r="X209" s="85"/>
      <c r="Y209" s="85"/>
      <c r="Z209" s="85"/>
      <c r="AA209" s="85"/>
      <c r="AB209" s="85"/>
      <c r="AC209" s="85"/>
      <c r="AD209" s="85"/>
      <c r="AE209" s="85"/>
      <c r="AF209" s="85"/>
      <c r="AG209" s="85"/>
      <c r="AH209" s="85"/>
      <c r="AI209" s="85"/>
      <c r="AJ209" s="85"/>
      <c r="AK209" s="85"/>
    </row>
    <row r="210" spans="1:37" s="9" customFormat="1" x14ac:dyDescent="0.25">
      <c r="B210" s="66" t="s">
        <v>34</v>
      </c>
      <c r="C210" s="51" t="s">
        <v>422</v>
      </c>
      <c r="H210" s="9" t="s">
        <v>1287</v>
      </c>
      <c r="I210" s="86">
        <f>Datasheet!I160/Datasheet!I144</f>
        <v>0.45161290322580644</v>
      </c>
      <c r="J210" s="86">
        <f>Datasheet!J160/Datasheet!J144</f>
        <v>0.32085561497326204</v>
      </c>
      <c r="K210" s="86">
        <f>Datasheet!K160/Datasheet!K144</f>
        <v>0.41121495327102803</v>
      </c>
      <c r="L210" s="86">
        <f>Datasheet!L160/Datasheet!L144</f>
        <v>0.48717948717948717</v>
      </c>
      <c r="M210" s="86">
        <f>Datasheet!M160/Datasheet!M144</f>
        <v>0.42412451361867703</v>
      </c>
      <c r="N210" s="86">
        <f>Datasheet!N160/Datasheet!N144</f>
        <v>0.52409638554216864</v>
      </c>
      <c r="O210" s="86">
        <f>Datasheet!O160/Datasheet!O144</f>
        <v>0.48484848484848486</v>
      </c>
      <c r="P210" s="86">
        <f>Datasheet!P160/Datasheet!P144</f>
        <v>0.44751381215469616</v>
      </c>
      <c r="Q210" s="86">
        <f>Datasheet!Q160/Datasheet!Q144</f>
        <v>0.5117647058823529</v>
      </c>
      <c r="R210" s="86">
        <f>Datasheet!R160/Datasheet!R144</f>
        <v>0.6029411764705882</v>
      </c>
      <c r="S210" s="86">
        <f>Datasheet!S160/Datasheet!S144</f>
        <v>0.46268656716417911</v>
      </c>
      <c r="T210" s="86">
        <f>Datasheet!T160/Datasheet!T144</f>
        <v>0.44444444444444442</v>
      </c>
      <c r="U210" s="86">
        <f>Datasheet!U160/Datasheet!U144</f>
        <v>0.43396226415094341</v>
      </c>
      <c r="V210" s="86">
        <f>Datasheet!V160/Datasheet!V144</f>
        <v>0.38582677165354329</v>
      </c>
      <c r="W210" s="86">
        <f>Datasheet!W160/Datasheet!W144</f>
        <v>0.39849624060150374</v>
      </c>
      <c r="X210" s="86">
        <f>Datasheet!X160/Datasheet!X144</f>
        <v>0.45238095238095238</v>
      </c>
      <c r="Y210" s="86">
        <f>Datasheet!Y160/Datasheet!Y144</f>
        <v>0.31843575418994413</v>
      </c>
      <c r="Z210" s="86">
        <f>Datasheet!Z160/Datasheet!Z144</f>
        <v>0.34862385321100919</v>
      </c>
      <c r="AA210" s="86">
        <f>Datasheet!AA160/Datasheet!AA144</f>
        <v>0.26126126126126126</v>
      </c>
      <c r="AB210" s="86" t="e">
        <f>Datasheet!AB160/Datasheet!AB144</f>
        <v>#DIV/0!</v>
      </c>
      <c r="AC210" s="86" t="e">
        <f>Datasheet!AC160/Datasheet!AC144</f>
        <v>#DIV/0!</v>
      </c>
      <c r="AD210" s="86" t="e">
        <f>Datasheet!AD160/Datasheet!AD144</f>
        <v>#DIV/0!</v>
      </c>
      <c r="AE210" s="86" t="e">
        <f>Datasheet!AE160/Datasheet!AE144</f>
        <v>#DIV/0!</v>
      </c>
      <c r="AF210" s="86" t="e">
        <f>Datasheet!AF160/Datasheet!AF144</f>
        <v>#DIV/0!</v>
      </c>
      <c r="AG210" s="86" t="e">
        <f>Datasheet!AG160/Datasheet!AG144</f>
        <v>#DIV/0!</v>
      </c>
      <c r="AH210" s="86" t="e">
        <f>Datasheet!AH160/Datasheet!AH144</f>
        <v>#DIV/0!</v>
      </c>
      <c r="AI210" s="86" t="e">
        <f>Datasheet!AI160/Datasheet!AI144</f>
        <v>#DIV/0!</v>
      </c>
      <c r="AJ210" s="86" t="e">
        <f>Datasheet!AJ160/Datasheet!AJ144</f>
        <v>#DIV/0!</v>
      </c>
      <c r="AK210" s="86" t="e">
        <f>Datasheet!AK160/Datasheet!AK144</f>
        <v>#DIV/0!</v>
      </c>
    </row>
    <row r="211" spans="1:37" s="9" customFormat="1" x14ac:dyDescent="0.25">
      <c r="B211" s="66"/>
      <c r="C211" s="51" t="s">
        <v>423</v>
      </c>
      <c r="H211" s="9" t="s">
        <v>1287</v>
      </c>
      <c r="I211" s="86">
        <f>Datasheet!I145/Datasheet!I144</f>
        <v>0.54838709677419351</v>
      </c>
      <c r="J211" s="86">
        <f>Datasheet!J145/Datasheet!J144</f>
        <v>0.67914438502673802</v>
      </c>
      <c r="K211" s="86">
        <f>Datasheet!K145/Datasheet!K144</f>
        <v>0.58878504672897192</v>
      </c>
      <c r="L211" s="86">
        <f>Datasheet!L145/Datasheet!L144</f>
        <v>0.51282051282051277</v>
      </c>
      <c r="M211" s="86">
        <f>Datasheet!M145/Datasheet!M144</f>
        <v>0.57587548638132291</v>
      </c>
      <c r="N211" s="86">
        <f>Datasheet!N145/Datasheet!N144</f>
        <v>0.4759036144578313</v>
      </c>
      <c r="O211" s="86">
        <f>Datasheet!O145/Datasheet!O144</f>
        <v>0.51515151515151514</v>
      </c>
      <c r="P211" s="86">
        <f>Datasheet!P145/Datasheet!P144</f>
        <v>0.5524861878453039</v>
      </c>
      <c r="Q211" s="86">
        <f>Datasheet!Q145/Datasheet!Q144</f>
        <v>0.48823529411764705</v>
      </c>
      <c r="R211" s="86">
        <f>Datasheet!R145/Datasheet!R144</f>
        <v>0.39705882352941174</v>
      </c>
      <c r="S211" s="86">
        <f>Datasheet!S145/Datasheet!S144</f>
        <v>0.53731343283582089</v>
      </c>
      <c r="T211" s="86">
        <f>Datasheet!T145/Datasheet!T144</f>
        <v>0.55555555555555558</v>
      </c>
      <c r="U211" s="86">
        <f>Datasheet!U145/Datasheet!U144</f>
        <v>0.56603773584905659</v>
      </c>
      <c r="V211" s="86">
        <f>Datasheet!V145/Datasheet!V144</f>
        <v>0.61417322834645671</v>
      </c>
      <c r="W211" s="86">
        <f>Datasheet!W145/Datasheet!W144</f>
        <v>0.60150375939849621</v>
      </c>
      <c r="X211" s="86">
        <f>Datasheet!X145/Datasheet!X144</f>
        <v>0.54761904761904767</v>
      </c>
      <c r="Y211" s="86">
        <f>Datasheet!Y145/Datasheet!Y144</f>
        <v>0.68156424581005581</v>
      </c>
      <c r="Z211" s="86">
        <f>Datasheet!Z145/Datasheet!Z144</f>
        <v>0.65137614678899081</v>
      </c>
      <c r="AA211" s="86">
        <f>Datasheet!AA145/Datasheet!AA144</f>
        <v>0.73873873873873874</v>
      </c>
      <c r="AB211" s="86" t="e">
        <f>Datasheet!AB145/Datasheet!AB144</f>
        <v>#DIV/0!</v>
      </c>
      <c r="AC211" s="86" t="e">
        <f>Datasheet!AC145/Datasheet!AC144</f>
        <v>#DIV/0!</v>
      </c>
      <c r="AD211" s="86" t="e">
        <f>Datasheet!AD145/Datasheet!AD144</f>
        <v>#DIV/0!</v>
      </c>
      <c r="AE211" s="86" t="e">
        <f>Datasheet!AE145/Datasheet!AE144</f>
        <v>#DIV/0!</v>
      </c>
      <c r="AF211" s="86" t="e">
        <f>Datasheet!AF145/Datasheet!AF144</f>
        <v>#DIV/0!</v>
      </c>
      <c r="AG211" s="86" t="e">
        <f>Datasheet!AG145/Datasheet!AG144</f>
        <v>#DIV/0!</v>
      </c>
      <c r="AH211" s="86" t="e">
        <f>Datasheet!AH145/Datasheet!AH144</f>
        <v>#DIV/0!</v>
      </c>
      <c r="AI211" s="86" t="e">
        <f>Datasheet!AI145/Datasheet!AI144</f>
        <v>#DIV/0!</v>
      </c>
      <c r="AJ211" s="86" t="e">
        <f>Datasheet!AJ145/Datasheet!AJ144</f>
        <v>#DIV/0!</v>
      </c>
      <c r="AK211" s="86" t="e">
        <f>Datasheet!AK145/Datasheet!AK144</f>
        <v>#DIV/0!</v>
      </c>
    </row>
    <row r="212" spans="1:37" s="9" customFormat="1" x14ac:dyDescent="0.25">
      <c r="B212" s="66"/>
      <c r="C212" s="51" t="s">
        <v>424</v>
      </c>
      <c r="H212" s="9" t="s">
        <v>1015</v>
      </c>
      <c r="I212" s="85">
        <f>Datasheet!I144</f>
        <v>62</v>
      </c>
      <c r="J212" s="85">
        <f>Datasheet!J144</f>
        <v>187</v>
      </c>
      <c r="K212" s="85">
        <f>Datasheet!K144</f>
        <v>321</v>
      </c>
      <c r="L212" s="85">
        <f>Datasheet!L144</f>
        <v>156</v>
      </c>
      <c r="M212" s="85">
        <f>Datasheet!M144</f>
        <v>257</v>
      </c>
      <c r="N212" s="85">
        <f>Datasheet!N144</f>
        <v>166</v>
      </c>
      <c r="O212" s="85">
        <f>Datasheet!O144</f>
        <v>165</v>
      </c>
      <c r="P212" s="85">
        <f>Datasheet!P144</f>
        <v>181</v>
      </c>
      <c r="Q212" s="85">
        <f>Datasheet!Q144</f>
        <v>170</v>
      </c>
      <c r="R212" s="85">
        <f>Datasheet!R144</f>
        <v>68</v>
      </c>
      <c r="S212" s="85">
        <f>Datasheet!S144</f>
        <v>67</v>
      </c>
      <c r="T212" s="85">
        <f>Datasheet!T144</f>
        <v>63</v>
      </c>
      <c r="U212" s="85">
        <f>Datasheet!U144</f>
        <v>106</v>
      </c>
      <c r="V212" s="85">
        <f>Datasheet!V144</f>
        <v>127</v>
      </c>
      <c r="W212" s="85">
        <f>Datasheet!W144</f>
        <v>133</v>
      </c>
      <c r="X212" s="85">
        <f>Datasheet!X144</f>
        <v>126</v>
      </c>
      <c r="Y212" s="85">
        <f>Datasheet!Y144</f>
        <v>179</v>
      </c>
      <c r="Z212" s="85">
        <f>Datasheet!Z144</f>
        <v>218</v>
      </c>
      <c r="AA212" s="85">
        <f>Datasheet!AA144</f>
        <v>222</v>
      </c>
      <c r="AB212" s="85">
        <f>Datasheet!AB144</f>
        <v>0</v>
      </c>
      <c r="AC212" s="85">
        <f>Datasheet!AC144</f>
        <v>0</v>
      </c>
      <c r="AD212" s="85">
        <f>Datasheet!AD144</f>
        <v>0</v>
      </c>
      <c r="AE212" s="85">
        <f>Datasheet!AE144</f>
        <v>0</v>
      </c>
      <c r="AF212" s="85">
        <f>Datasheet!AF144</f>
        <v>0</v>
      </c>
      <c r="AG212" s="85">
        <f>Datasheet!AG144</f>
        <v>0</v>
      </c>
      <c r="AH212" s="85">
        <f>Datasheet!AH144</f>
        <v>0</v>
      </c>
      <c r="AI212" s="85">
        <f>Datasheet!AI144</f>
        <v>0</v>
      </c>
      <c r="AJ212" s="85">
        <f>Datasheet!AJ144</f>
        <v>0</v>
      </c>
      <c r="AK212" s="85">
        <f>Datasheet!AK144</f>
        <v>0</v>
      </c>
    </row>
    <row r="213" spans="1:37" s="93" customFormat="1" x14ac:dyDescent="0.25">
      <c r="B213" s="94"/>
      <c r="C213" s="95"/>
      <c r="I213" s="96"/>
      <c r="J213" s="96"/>
      <c r="K213" s="96"/>
      <c r="L213" s="96"/>
      <c r="M213" s="96"/>
      <c r="N213" s="96"/>
      <c r="O213" s="96"/>
      <c r="P213" s="96"/>
      <c r="Q213" s="96"/>
      <c r="R213" s="96"/>
      <c r="S213" s="96"/>
      <c r="T213" s="96"/>
      <c r="U213" s="96"/>
      <c r="V213" s="96"/>
      <c r="W213" s="96"/>
      <c r="X213" s="96"/>
      <c r="Y213" s="96"/>
      <c r="Z213" s="96"/>
      <c r="AA213" s="96"/>
      <c r="AB213" s="96"/>
      <c r="AC213" s="96"/>
      <c r="AD213" s="96"/>
      <c r="AE213" s="96"/>
      <c r="AF213" s="96"/>
      <c r="AG213" s="96"/>
      <c r="AH213" s="96"/>
      <c r="AI213" s="96"/>
      <c r="AJ213" s="96"/>
      <c r="AK213" s="96"/>
    </row>
    <row r="214" spans="1:37" s="81" customFormat="1" ht="17.25" x14ac:dyDescent="0.3">
      <c r="A214" s="81" t="s">
        <v>426</v>
      </c>
    </row>
    <row r="215" spans="1:37" x14ac:dyDescent="0.25">
      <c r="B215" s="64" t="s">
        <v>33</v>
      </c>
      <c r="C215" t="s">
        <v>336</v>
      </c>
    </row>
    <row r="216" spans="1:37" x14ac:dyDescent="0.25">
      <c r="B216" s="64" t="s">
        <v>626</v>
      </c>
      <c r="C216" t="s">
        <v>830</v>
      </c>
    </row>
    <row r="217" spans="1:37" x14ac:dyDescent="0.25">
      <c r="B217" s="64" t="s">
        <v>420</v>
      </c>
      <c r="C217" t="s">
        <v>824</v>
      </c>
    </row>
    <row r="218" spans="1:37" x14ac:dyDescent="0.25">
      <c r="B218" s="64" t="s">
        <v>429</v>
      </c>
      <c r="C218" s="195" t="s">
        <v>39</v>
      </c>
    </row>
    <row r="219" spans="1:37" x14ac:dyDescent="0.25">
      <c r="B219" s="64" t="s">
        <v>421</v>
      </c>
      <c r="C219" t="s">
        <v>831</v>
      </c>
    </row>
    <row r="220" spans="1:37" x14ac:dyDescent="0.25">
      <c r="B220" s="64" t="s">
        <v>425</v>
      </c>
      <c r="C220" t="s">
        <v>832</v>
      </c>
    </row>
    <row r="221" spans="1:37" x14ac:dyDescent="0.25">
      <c r="B221" s="64"/>
      <c r="C221" t="s">
        <v>833</v>
      </c>
    </row>
    <row r="222" spans="1:37" x14ac:dyDescent="0.25">
      <c r="B222" s="64"/>
      <c r="C222" t="s">
        <v>834</v>
      </c>
    </row>
    <row r="223" spans="1:37" x14ac:dyDescent="0.25">
      <c r="B223" s="64" t="s">
        <v>333</v>
      </c>
      <c r="C223" t="s">
        <v>835</v>
      </c>
    </row>
    <row r="224" spans="1:37" x14ac:dyDescent="0.25">
      <c r="B224" s="64"/>
      <c r="C224" t="s">
        <v>836</v>
      </c>
    </row>
    <row r="225" spans="2:37" x14ac:dyDescent="0.25">
      <c r="B225" s="71" t="s">
        <v>334</v>
      </c>
      <c r="C225" t="s">
        <v>1567</v>
      </c>
    </row>
    <row r="226" spans="2:37" x14ac:dyDescent="0.25">
      <c r="B226" s="71"/>
      <c r="C226" t="s">
        <v>1568</v>
      </c>
    </row>
    <row r="227" spans="2:37" s="83" customFormat="1" ht="15.75" thickBot="1" x14ac:dyDescent="0.3">
      <c r="C227" s="83" t="s">
        <v>837</v>
      </c>
    </row>
    <row r="228" spans="2:37" s="9" customFormat="1" ht="15.75" thickTop="1" x14ac:dyDescent="0.25">
      <c r="B228" s="66"/>
      <c r="C228" s="51"/>
      <c r="I228" s="85"/>
      <c r="J228" s="85"/>
      <c r="K228" s="85"/>
      <c r="L228" s="85"/>
      <c r="M228" s="85"/>
      <c r="N228" s="85"/>
      <c r="O228" s="85"/>
      <c r="P228" s="85"/>
      <c r="Q228" s="85"/>
      <c r="R228" s="85"/>
      <c r="S228" s="85"/>
      <c r="T228" s="85"/>
      <c r="U228" s="85"/>
      <c r="V228" s="85"/>
      <c r="W228" s="85"/>
      <c r="X228" s="85"/>
      <c r="Y228" s="85"/>
      <c r="Z228" s="85"/>
      <c r="AA228" s="85"/>
      <c r="AB228" s="85"/>
      <c r="AC228" s="85"/>
      <c r="AD228" s="85"/>
      <c r="AE228" s="85"/>
      <c r="AF228" s="85"/>
      <c r="AG228" s="85"/>
      <c r="AH228" s="85"/>
      <c r="AI228" s="85"/>
      <c r="AJ228" s="85"/>
      <c r="AK228" s="85"/>
    </row>
    <row r="229" spans="2:37" s="9" customFormat="1" x14ac:dyDescent="0.25">
      <c r="B229" s="66"/>
      <c r="C229" s="51"/>
      <c r="I229" s="85"/>
      <c r="J229" s="85"/>
      <c r="K229" s="85"/>
      <c r="L229" s="85"/>
      <c r="M229" s="85"/>
      <c r="N229" s="85"/>
      <c r="O229" s="85"/>
      <c r="P229" s="85"/>
      <c r="Q229" s="85"/>
      <c r="R229" s="85"/>
      <c r="S229" s="85"/>
      <c r="T229" s="85"/>
      <c r="U229" s="85"/>
      <c r="V229" s="85"/>
      <c r="W229" s="85"/>
      <c r="X229" s="85"/>
      <c r="Y229" s="85"/>
      <c r="Z229" s="85"/>
      <c r="AA229" s="85"/>
      <c r="AB229" s="85"/>
      <c r="AC229" s="85"/>
      <c r="AD229" s="85"/>
      <c r="AE229" s="85"/>
      <c r="AF229" s="85"/>
      <c r="AG229" s="85"/>
      <c r="AH229" s="85"/>
      <c r="AI229" s="85"/>
      <c r="AJ229" s="85"/>
      <c r="AK229" s="85"/>
    </row>
    <row r="230" spans="2:37" s="9" customFormat="1" x14ac:dyDescent="0.25">
      <c r="B230" s="66"/>
      <c r="C230" s="51"/>
      <c r="I230" s="85"/>
      <c r="J230" s="85"/>
      <c r="K230" s="85"/>
      <c r="L230" s="85"/>
      <c r="M230" s="85"/>
      <c r="N230" s="85"/>
      <c r="O230" s="85"/>
      <c r="P230" s="85"/>
      <c r="Q230" s="85"/>
      <c r="R230" s="85"/>
      <c r="S230" s="85"/>
      <c r="T230" s="85"/>
      <c r="U230" s="85"/>
      <c r="V230" s="85"/>
      <c r="W230" s="85"/>
      <c r="X230" s="85"/>
      <c r="Y230" s="85"/>
      <c r="Z230" s="85"/>
      <c r="AA230" s="85"/>
      <c r="AB230" s="85"/>
      <c r="AC230" s="85"/>
      <c r="AD230" s="85"/>
      <c r="AE230" s="85"/>
      <c r="AF230" s="85"/>
      <c r="AG230" s="85"/>
      <c r="AH230" s="85"/>
      <c r="AI230" s="85"/>
      <c r="AJ230" s="85"/>
      <c r="AK230" s="85"/>
    </row>
    <row r="231" spans="2:37" s="9" customFormat="1" x14ac:dyDescent="0.25">
      <c r="B231" s="66"/>
      <c r="C231" s="51"/>
      <c r="I231" s="85"/>
      <c r="J231" s="85"/>
      <c r="K231" s="85"/>
      <c r="L231" s="85"/>
      <c r="M231" s="85"/>
      <c r="N231" s="85"/>
      <c r="O231" s="85"/>
      <c r="P231" s="85"/>
      <c r="Q231" s="85"/>
      <c r="R231" s="85"/>
      <c r="S231" s="85"/>
      <c r="T231" s="85"/>
      <c r="U231" s="85"/>
      <c r="V231" s="85"/>
      <c r="W231" s="85"/>
      <c r="X231" s="85"/>
      <c r="Y231" s="85"/>
      <c r="Z231" s="85"/>
      <c r="AA231" s="85"/>
      <c r="AB231" s="85"/>
      <c r="AC231" s="85"/>
      <c r="AD231" s="85"/>
      <c r="AE231" s="85"/>
      <c r="AF231" s="85"/>
      <c r="AG231" s="85"/>
      <c r="AH231" s="85"/>
      <c r="AI231" s="85"/>
      <c r="AJ231" s="85"/>
      <c r="AK231" s="85"/>
    </row>
    <row r="232" spans="2:37" s="9" customFormat="1" x14ac:dyDescent="0.25">
      <c r="B232" s="66"/>
      <c r="C232" s="51"/>
      <c r="I232" s="85"/>
      <c r="J232" s="85"/>
      <c r="K232" s="85"/>
      <c r="L232" s="85"/>
      <c r="M232" s="85"/>
      <c r="N232" s="85"/>
      <c r="O232" s="85"/>
      <c r="P232" s="85"/>
      <c r="Q232" s="85"/>
      <c r="R232" s="85"/>
      <c r="S232" s="85"/>
      <c r="T232" s="85"/>
      <c r="U232" s="85"/>
      <c r="V232" s="85"/>
      <c r="W232" s="85"/>
      <c r="X232" s="85"/>
      <c r="Y232" s="85"/>
      <c r="Z232" s="85"/>
      <c r="AA232" s="85"/>
      <c r="AB232" s="85"/>
      <c r="AC232" s="85"/>
      <c r="AD232" s="85"/>
      <c r="AE232" s="85"/>
      <c r="AF232" s="85"/>
      <c r="AG232" s="85"/>
      <c r="AH232" s="85"/>
      <c r="AI232" s="85"/>
      <c r="AJ232" s="85"/>
      <c r="AK232" s="85"/>
    </row>
    <row r="233" spans="2:37" s="9" customFormat="1" x14ac:dyDescent="0.25">
      <c r="B233" s="66"/>
      <c r="C233" s="51"/>
      <c r="I233" s="85"/>
      <c r="J233" s="85"/>
      <c r="K233" s="85"/>
      <c r="L233" s="85"/>
      <c r="M233" s="85"/>
      <c r="N233" s="85"/>
      <c r="O233" s="85"/>
      <c r="P233" s="85"/>
      <c r="Q233" s="85"/>
      <c r="R233" s="85"/>
      <c r="S233" s="85"/>
      <c r="T233" s="85"/>
      <c r="U233" s="85"/>
      <c r="V233" s="85"/>
      <c r="W233" s="85"/>
      <c r="X233" s="85"/>
      <c r="Y233" s="85"/>
      <c r="Z233" s="85"/>
      <c r="AA233" s="85"/>
      <c r="AB233" s="85"/>
      <c r="AC233" s="85"/>
      <c r="AD233" s="85"/>
      <c r="AE233" s="85"/>
      <c r="AF233" s="85"/>
      <c r="AG233" s="85"/>
      <c r="AH233" s="85"/>
      <c r="AI233" s="85"/>
      <c r="AJ233" s="85"/>
      <c r="AK233" s="85"/>
    </row>
    <row r="234" spans="2:37" s="9" customFormat="1" x14ac:dyDescent="0.25">
      <c r="B234" s="66"/>
      <c r="C234" s="51"/>
      <c r="I234" s="85"/>
      <c r="J234" s="85"/>
      <c r="K234" s="85"/>
      <c r="L234" s="85"/>
      <c r="M234" s="85"/>
      <c r="N234" s="85"/>
      <c r="O234" s="85"/>
      <c r="P234" s="85"/>
      <c r="Q234" s="85"/>
      <c r="R234" s="85"/>
      <c r="S234" s="85"/>
      <c r="T234" s="85"/>
      <c r="U234" s="85"/>
      <c r="V234" s="85"/>
      <c r="W234" s="85"/>
      <c r="X234" s="85"/>
      <c r="Y234" s="85"/>
      <c r="Z234" s="85"/>
      <c r="AA234" s="85"/>
      <c r="AB234" s="85"/>
      <c r="AC234" s="85"/>
      <c r="AD234" s="85"/>
      <c r="AE234" s="85"/>
      <c r="AF234" s="85"/>
      <c r="AG234" s="85"/>
      <c r="AH234" s="85"/>
      <c r="AI234" s="85"/>
      <c r="AJ234" s="85"/>
      <c r="AK234" s="85"/>
    </row>
    <row r="235" spans="2:37" s="9" customFormat="1" x14ac:dyDescent="0.25">
      <c r="B235" s="66"/>
      <c r="C235" s="51"/>
      <c r="I235" s="85"/>
      <c r="J235" s="85"/>
      <c r="K235" s="85"/>
      <c r="L235" s="85"/>
      <c r="M235" s="85"/>
      <c r="N235" s="85"/>
      <c r="O235" s="85"/>
      <c r="P235" s="85"/>
      <c r="Q235" s="85"/>
      <c r="R235" s="85"/>
      <c r="S235" s="85"/>
      <c r="T235" s="85"/>
      <c r="U235" s="85"/>
      <c r="V235" s="85"/>
      <c r="W235" s="85"/>
      <c r="X235" s="85"/>
      <c r="Y235" s="85"/>
      <c r="Z235" s="85"/>
      <c r="AA235" s="85"/>
      <c r="AB235" s="85"/>
      <c r="AC235" s="85"/>
      <c r="AD235" s="85"/>
      <c r="AE235" s="85"/>
      <c r="AF235" s="85"/>
      <c r="AG235" s="85"/>
      <c r="AH235" s="85"/>
      <c r="AI235" s="85"/>
      <c r="AJ235" s="85"/>
      <c r="AK235" s="85"/>
    </row>
    <row r="236" spans="2:37" s="9" customFormat="1" x14ac:dyDescent="0.25">
      <c r="B236" s="66"/>
      <c r="C236" s="51"/>
      <c r="I236" s="85"/>
      <c r="J236" s="85"/>
      <c r="K236" s="85"/>
      <c r="L236" s="85"/>
      <c r="M236" s="85"/>
      <c r="N236" s="85"/>
      <c r="O236" s="85"/>
      <c r="P236" s="85"/>
      <c r="Q236" s="85"/>
      <c r="R236" s="85"/>
      <c r="S236" s="85"/>
      <c r="T236" s="85"/>
      <c r="U236" s="85"/>
      <c r="V236" s="85"/>
      <c r="W236" s="85"/>
      <c r="X236" s="85"/>
      <c r="Y236" s="85"/>
      <c r="Z236" s="85"/>
      <c r="AA236" s="85"/>
      <c r="AB236" s="85"/>
      <c r="AC236" s="85"/>
      <c r="AD236" s="85"/>
      <c r="AE236" s="85"/>
      <c r="AF236" s="85"/>
      <c r="AG236" s="85"/>
      <c r="AH236" s="85"/>
      <c r="AI236" s="85"/>
      <c r="AJ236" s="85"/>
      <c r="AK236" s="85"/>
    </row>
    <row r="237" spans="2:37" s="9" customFormat="1" x14ac:dyDescent="0.25">
      <c r="B237" s="66"/>
      <c r="C237" s="51"/>
      <c r="I237" s="85"/>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c r="AG237" s="85"/>
      <c r="AH237" s="85"/>
      <c r="AI237" s="85"/>
      <c r="AJ237" s="85"/>
      <c r="AK237" s="85"/>
    </row>
    <row r="238" spans="2:37" s="9" customFormat="1" x14ac:dyDescent="0.25">
      <c r="B238" s="66"/>
      <c r="C238" s="51"/>
      <c r="I238" s="85"/>
      <c r="J238" s="85"/>
      <c r="K238" s="85"/>
      <c r="L238" s="85"/>
      <c r="M238" s="85"/>
      <c r="N238" s="85"/>
      <c r="O238" s="85"/>
      <c r="P238" s="85"/>
      <c r="Q238" s="85"/>
      <c r="R238" s="85"/>
      <c r="S238" s="85"/>
      <c r="T238" s="85"/>
      <c r="U238" s="85"/>
      <c r="V238" s="85"/>
      <c r="W238" s="85"/>
      <c r="X238" s="85"/>
      <c r="Y238" s="85"/>
      <c r="Z238" s="85"/>
      <c r="AA238" s="85"/>
      <c r="AB238" s="85"/>
      <c r="AC238" s="85"/>
      <c r="AD238" s="85"/>
      <c r="AE238" s="85"/>
      <c r="AF238" s="85"/>
      <c r="AG238" s="85"/>
      <c r="AH238" s="85"/>
      <c r="AI238" s="85"/>
      <c r="AJ238" s="85"/>
      <c r="AK238" s="85"/>
    </row>
    <row r="239" spans="2:37" s="9" customFormat="1" x14ac:dyDescent="0.25">
      <c r="B239" s="66"/>
      <c r="C239" s="51"/>
      <c r="I239" s="85"/>
      <c r="J239" s="85"/>
      <c r="K239" s="85"/>
      <c r="L239" s="85"/>
      <c r="M239" s="85"/>
      <c r="N239" s="85"/>
      <c r="O239" s="85"/>
      <c r="P239" s="85"/>
      <c r="Q239" s="85"/>
      <c r="R239" s="85"/>
      <c r="S239" s="85"/>
      <c r="T239" s="85"/>
      <c r="U239" s="85"/>
      <c r="V239" s="85"/>
      <c r="W239" s="85"/>
      <c r="X239" s="85"/>
      <c r="Y239" s="85"/>
      <c r="Z239" s="85"/>
      <c r="AA239" s="85"/>
      <c r="AB239" s="85"/>
      <c r="AC239" s="85"/>
      <c r="AD239" s="85"/>
      <c r="AE239" s="85"/>
      <c r="AF239" s="85"/>
      <c r="AG239" s="85"/>
      <c r="AH239" s="85"/>
      <c r="AI239" s="85"/>
      <c r="AJ239" s="85"/>
      <c r="AK239" s="85"/>
    </row>
    <row r="240" spans="2:37" s="9" customFormat="1" x14ac:dyDescent="0.25">
      <c r="B240" s="66"/>
      <c r="C240" s="51"/>
      <c r="I240" s="85"/>
      <c r="J240" s="85"/>
      <c r="K240" s="85"/>
      <c r="L240" s="85"/>
      <c r="M240" s="85"/>
      <c r="N240" s="85"/>
      <c r="O240" s="85"/>
      <c r="P240" s="85"/>
      <c r="Q240" s="85"/>
      <c r="R240" s="85"/>
      <c r="S240" s="85"/>
      <c r="T240" s="85"/>
      <c r="U240" s="85"/>
      <c r="V240" s="85"/>
      <c r="W240" s="85"/>
      <c r="X240" s="85"/>
      <c r="Y240" s="85"/>
      <c r="Z240" s="85"/>
      <c r="AA240" s="85"/>
      <c r="AB240" s="85"/>
      <c r="AC240" s="85"/>
      <c r="AD240" s="85"/>
      <c r="AE240" s="85"/>
      <c r="AF240" s="85"/>
      <c r="AG240" s="85"/>
      <c r="AH240" s="85"/>
      <c r="AI240" s="85"/>
      <c r="AJ240" s="85"/>
      <c r="AK240" s="85"/>
    </row>
    <row r="241" spans="1:37" s="9" customFormat="1" x14ac:dyDescent="0.25">
      <c r="B241" s="66"/>
      <c r="C241" s="51"/>
      <c r="I241" s="85"/>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c r="AG241" s="85"/>
      <c r="AH241" s="85"/>
      <c r="AI241" s="85"/>
      <c r="AJ241" s="85"/>
      <c r="AK241" s="85"/>
    </row>
    <row r="242" spans="1:37" s="9" customFormat="1" x14ac:dyDescent="0.25">
      <c r="B242" s="66"/>
      <c r="C242" s="51"/>
      <c r="I242" s="85"/>
      <c r="J242" s="85"/>
      <c r="K242" s="85"/>
      <c r="L242" s="85"/>
      <c r="M242" s="85"/>
      <c r="N242" s="85"/>
      <c r="O242" s="85"/>
      <c r="P242" s="85"/>
      <c r="Q242" s="85"/>
      <c r="R242" s="85"/>
      <c r="S242" s="85"/>
      <c r="T242" s="85"/>
      <c r="U242" s="85"/>
      <c r="V242" s="85"/>
      <c r="W242" s="85"/>
      <c r="X242" s="85"/>
      <c r="Y242" s="85"/>
      <c r="Z242" s="85"/>
      <c r="AA242" s="85"/>
      <c r="AB242" s="85"/>
      <c r="AC242" s="85"/>
      <c r="AD242" s="85"/>
      <c r="AE242" s="85"/>
      <c r="AF242" s="85"/>
      <c r="AG242" s="85"/>
      <c r="AH242" s="85"/>
      <c r="AI242" s="85"/>
      <c r="AJ242" s="85"/>
      <c r="AK242" s="85"/>
    </row>
    <row r="243" spans="1:37" s="9" customFormat="1" x14ac:dyDescent="0.25">
      <c r="B243" s="66" t="s">
        <v>34</v>
      </c>
      <c r="C243" s="51" t="s">
        <v>1044</v>
      </c>
      <c r="H243" s="9" t="s">
        <v>1015</v>
      </c>
      <c r="I243" s="97"/>
      <c r="J243" s="97"/>
      <c r="K243" s="97"/>
      <c r="L243" s="97"/>
      <c r="M243" s="97">
        <f>N243+Datasheet!N160-SUM(Datasheet!N21,Datasheet!N24,Datasheet!N27)</f>
        <v>6861</v>
      </c>
      <c r="N243" s="97">
        <f>O243+Datasheet!O160-SUM(Datasheet!O21,Datasheet!O24,Datasheet!O27)</f>
        <v>6684</v>
      </c>
      <c r="O243" s="97">
        <f>P243+Datasheet!P160-SUM(Datasheet!P21,Datasheet!P24,Datasheet!P27)</f>
        <v>6598</v>
      </c>
      <c r="P243" s="97">
        <f>Q243+Datasheet!Q160-SUM(Datasheet!Q21,Datasheet!Q24,Datasheet!Q27)</f>
        <v>6515</v>
      </c>
      <c r="Q243" s="97">
        <f>R243+Datasheet!R160-SUM(Datasheet!R21,Datasheet!R24,Datasheet!R27)</f>
        <v>6427</v>
      </c>
      <c r="R243" s="97">
        <v>6385</v>
      </c>
      <c r="S243" s="97">
        <f>R243-Datasheet!S160+SUM(Datasheet!S21,Datasheet!S24,Datasheet!S27)</f>
        <v>6322</v>
      </c>
      <c r="T243" s="97">
        <f>S243-Datasheet!T160+SUM(Datasheet!T21,Datasheet!T24,Datasheet!T27)</f>
        <v>6282</v>
      </c>
      <c r="U243" s="97">
        <f>T243-Datasheet!U160+SUM(Datasheet!U21,Datasheet!U24,Datasheet!U27)</f>
        <v>6222</v>
      </c>
      <c r="V243" s="97">
        <f>U243-Datasheet!V160+SUM(Datasheet!V21,Datasheet!V24,Datasheet!V27)</f>
        <v>3722</v>
      </c>
      <c r="W243" s="97">
        <f>V243-Datasheet!W160+SUM(Datasheet!W21,Datasheet!W24,Datasheet!W27)</f>
        <v>3632.4</v>
      </c>
      <c r="X243" s="97">
        <f>W243-Datasheet!X160+SUM(Datasheet!X21,Datasheet!X24,Datasheet!X27)</f>
        <v>3573.4</v>
      </c>
      <c r="Y243" s="97">
        <f>X243-Datasheet!Y160+SUM(Datasheet!Y21,Datasheet!Y24,Datasheet!Y27)</f>
        <v>3510.4</v>
      </c>
      <c r="Z243" s="97">
        <f>Y243-Datasheet!Z160+SUM(Datasheet!Z21,Datasheet!Z24,Datasheet!Z27)</f>
        <v>3434.4</v>
      </c>
      <c r="AA243" s="97">
        <f>Z243-Datasheet!AA160+SUM(Datasheet!AA21,Datasheet!AA24,Datasheet!AA27)</f>
        <v>3374.4</v>
      </c>
      <c r="AB243" s="97">
        <f>AA243-Datasheet!AB160+SUM(Datasheet!AB21,Datasheet!AB24,Datasheet!AB27)</f>
        <v>3374.4</v>
      </c>
      <c r="AC243" s="97">
        <f>AB243-Datasheet!AC160+SUM(Datasheet!AC21,Datasheet!AC24,Datasheet!AC27)</f>
        <v>3374.4</v>
      </c>
      <c r="AD243" s="97">
        <f>AC243-Datasheet!AD160+SUM(Datasheet!AD21,Datasheet!AD24,Datasheet!AD27)</f>
        <v>3374.4</v>
      </c>
      <c r="AE243" s="97">
        <f>AD243-Datasheet!AE160+SUM(Datasheet!AE21,Datasheet!AE24,Datasheet!AE27)</f>
        <v>3374.4</v>
      </c>
      <c r="AF243" s="97">
        <f>AE243-Datasheet!AF160+SUM(Datasheet!AF21,Datasheet!AF24,Datasheet!AF27)</f>
        <v>3374.4</v>
      </c>
      <c r="AG243" s="97">
        <f>AF243-Datasheet!AG160+SUM(Datasheet!AG21,Datasheet!AG24,Datasheet!AG27)</f>
        <v>3374.4</v>
      </c>
      <c r="AH243" s="97">
        <f>AG243-Datasheet!AH160+SUM(Datasheet!AH21,Datasheet!AH24,Datasheet!AH27)</f>
        <v>3374.4</v>
      </c>
      <c r="AI243" s="97">
        <f>AH243-Datasheet!AI160+SUM(Datasheet!AI21,Datasheet!AI24,Datasheet!AI27)</f>
        <v>3374.4</v>
      </c>
      <c r="AJ243" s="97">
        <f>AI243-Datasheet!AJ160+SUM(Datasheet!AJ21,Datasheet!AJ24,Datasheet!AJ27)</f>
        <v>3374.4</v>
      </c>
      <c r="AK243" s="97">
        <f>AJ243-Datasheet!AK160+SUM(Datasheet!AK21,Datasheet!AK24,Datasheet!AK27)</f>
        <v>3374.4</v>
      </c>
    </row>
    <row r="244" spans="1:37" s="9" customFormat="1" x14ac:dyDescent="0.25">
      <c r="B244" s="66"/>
      <c r="C244" s="51" t="s">
        <v>1045</v>
      </c>
      <c r="H244" s="9" t="s">
        <v>1015</v>
      </c>
      <c r="I244" s="97"/>
      <c r="J244" s="97"/>
      <c r="K244" s="97"/>
      <c r="L244" s="97"/>
      <c r="M244" s="97">
        <f>N244+Datasheet!N145-SUM(Datasheet!N20,Datasheet!N23,Datasheet!N26)</f>
        <v>3835</v>
      </c>
      <c r="N244" s="97">
        <f>O244+Datasheet!O145-SUM(Datasheet!O20,Datasheet!O23,Datasheet!O26)</f>
        <v>3765</v>
      </c>
      <c r="O244" s="97">
        <f>P244+Datasheet!P145-SUM(Datasheet!P20,Datasheet!P23,Datasheet!P26)</f>
        <v>3698</v>
      </c>
      <c r="P244" s="97">
        <f>Q244+Datasheet!Q145-SUM(Datasheet!Q20,Datasheet!Q23,Datasheet!Q26)</f>
        <v>3618</v>
      </c>
      <c r="Q244" s="97">
        <f>R244+Datasheet!R145-SUM(Datasheet!R20,Datasheet!R23,Datasheet!R26)</f>
        <v>3535</v>
      </c>
      <c r="R244" s="97">
        <v>3576</v>
      </c>
      <c r="S244" s="97">
        <f>R244-Datasheet!S145+SUM(Datasheet!S20,Datasheet!S23,Datasheet!S26)</f>
        <v>3540</v>
      </c>
      <c r="T244" s="97">
        <f>S244-Datasheet!T145+SUM(Datasheet!T20,Datasheet!T23,Datasheet!T26)</f>
        <v>3505</v>
      </c>
      <c r="U244" s="97">
        <f>T244-Datasheet!U145+SUM(Datasheet!U20,Datasheet!U23,Datasheet!U26)</f>
        <v>3445</v>
      </c>
      <c r="V244" s="97">
        <f>U244-Datasheet!V145+SUM(Datasheet!V20,Datasheet!V23,Datasheet!V26)+570</f>
        <v>4193</v>
      </c>
      <c r="W244" s="97">
        <f>V244-Datasheet!W145+SUM(Datasheet!W20,Datasheet!W23,Datasheet!W26)</f>
        <v>4074</v>
      </c>
      <c r="X244" s="97">
        <f>W244-Datasheet!X145+SUM(Datasheet!X20,Datasheet!X23,Datasheet!X26)</f>
        <v>4020</v>
      </c>
      <c r="Y244" s="97">
        <f>X244-Datasheet!Y145+SUM(Datasheet!Y20,Datasheet!Y23,Datasheet!Y26)-SUM(Datasheet!S18:Y18)-570</f>
        <v>5649.6</v>
      </c>
      <c r="Z244" s="97">
        <f>Y244-Datasheet!Z145-SUM(Datasheet!Z19,Datasheet!Z22,Datasheet!Z25)</f>
        <v>5514.6</v>
      </c>
      <c r="AA244" s="97">
        <f>Z244-Datasheet!AA145-SUM(Datasheet!AA19,Datasheet!AA22,Datasheet!AA25)</f>
        <v>5339.6</v>
      </c>
      <c r="AB244" s="97">
        <f>AA244-Datasheet!AB145-SUM(Datasheet!AB19,Datasheet!AB22,Datasheet!AB25)</f>
        <v>5339.6</v>
      </c>
      <c r="AC244" s="97">
        <f>AB244-Datasheet!AC145-SUM(Datasheet!AC19,Datasheet!AC22,Datasheet!AC25)</f>
        <v>5339.6</v>
      </c>
      <c r="AD244" s="97">
        <f>AC244-Datasheet!AD145-SUM(Datasheet!AD19,Datasheet!AD22,Datasheet!AD25)</f>
        <v>5339.6</v>
      </c>
      <c r="AE244" s="97">
        <f>AD244-Datasheet!AE145-SUM(Datasheet!AE19,Datasheet!AE22,Datasheet!AE25)</f>
        <v>5339.6</v>
      </c>
      <c r="AF244" s="97">
        <f>AE244-Datasheet!AF145-SUM(Datasheet!AF19,Datasheet!AF22,Datasheet!AF25)</f>
        <v>5339.6</v>
      </c>
      <c r="AG244" s="97">
        <f>AF244-Datasheet!AG145-SUM(Datasheet!AG19,Datasheet!AG22,Datasheet!AG25)</f>
        <v>5339.6</v>
      </c>
      <c r="AH244" s="97">
        <f>AG244-Datasheet!AH145-SUM(Datasheet!AH19,Datasheet!AH22,Datasheet!AH25)</f>
        <v>5339.6</v>
      </c>
      <c r="AI244" s="97">
        <f>AH244-Datasheet!AI145-SUM(Datasheet!AI19,Datasheet!AI22,Datasheet!AI25)</f>
        <v>5339.6</v>
      </c>
      <c r="AJ244" s="97">
        <f>AI244-Datasheet!AJ145-SUM(Datasheet!AJ19,Datasheet!AJ22,Datasheet!AJ25)</f>
        <v>5339.6</v>
      </c>
      <c r="AK244" s="97">
        <f>AJ244-Datasheet!AK145-SUM(Datasheet!AK19,Datasheet!AK22,Datasheet!AK25)</f>
        <v>5339.6</v>
      </c>
    </row>
    <row r="245" spans="1:37" s="9" customFormat="1" x14ac:dyDescent="0.25">
      <c r="B245" s="66"/>
      <c r="C245" s="51" t="s">
        <v>1312</v>
      </c>
      <c r="H245" s="9" t="s">
        <v>1306</v>
      </c>
      <c r="I245" s="97"/>
      <c r="J245" s="97"/>
      <c r="K245" s="97"/>
      <c r="L245" s="97"/>
      <c r="M245" s="86">
        <f>M244/SUM(M243:M244)</f>
        <v>0.35854525056095737</v>
      </c>
      <c r="N245" s="86">
        <f t="shared" ref="N245:AK245" si="23">N244/SUM(N243:N244)</f>
        <v>0.36032156187194947</v>
      </c>
      <c r="O245" s="86">
        <f t="shared" si="23"/>
        <v>0.35916860916860915</v>
      </c>
      <c r="P245" s="86">
        <f t="shared" si="23"/>
        <v>0.35705121879009177</v>
      </c>
      <c r="Q245" s="86">
        <f t="shared" si="23"/>
        <v>0.35484842401124272</v>
      </c>
      <c r="R245" s="86">
        <f t="shared" si="23"/>
        <v>0.35900010039152697</v>
      </c>
      <c r="S245" s="86">
        <f t="shared" si="23"/>
        <v>0.35895355911579802</v>
      </c>
      <c r="T245" s="86">
        <f t="shared" si="23"/>
        <v>0.35812812915091446</v>
      </c>
      <c r="U245" s="86">
        <f t="shared" si="23"/>
        <v>0.35636702182683355</v>
      </c>
      <c r="V245" s="86">
        <f t="shared" si="23"/>
        <v>0.52975363234365125</v>
      </c>
      <c r="W245" s="86">
        <f t="shared" si="23"/>
        <v>0.52865151043288694</v>
      </c>
      <c r="X245" s="86">
        <f t="shared" si="23"/>
        <v>0.52940711670661367</v>
      </c>
      <c r="Y245" s="86">
        <f t="shared" si="23"/>
        <v>0.61676855895196514</v>
      </c>
      <c r="Z245" s="86">
        <f t="shared" si="23"/>
        <v>0.61622527656721426</v>
      </c>
      <c r="AA245" s="86">
        <f t="shared" si="23"/>
        <v>0.61276107413357817</v>
      </c>
      <c r="AB245" s="86">
        <f t="shared" si="23"/>
        <v>0.61276107413357817</v>
      </c>
      <c r="AC245" s="86">
        <f t="shared" si="23"/>
        <v>0.61276107413357817</v>
      </c>
      <c r="AD245" s="86">
        <f t="shared" si="23"/>
        <v>0.61276107413357817</v>
      </c>
      <c r="AE245" s="86">
        <f t="shared" si="23"/>
        <v>0.61276107413357817</v>
      </c>
      <c r="AF245" s="86">
        <f t="shared" si="23"/>
        <v>0.61276107413357817</v>
      </c>
      <c r="AG245" s="86">
        <f t="shared" si="23"/>
        <v>0.61276107413357817</v>
      </c>
      <c r="AH245" s="86">
        <f t="shared" si="23"/>
        <v>0.61276107413357817</v>
      </c>
      <c r="AI245" s="86">
        <f t="shared" si="23"/>
        <v>0.61276107413357817</v>
      </c>
      <c r="AJ245" s="86">
        <f t="shared" si="23"/>
        <v>0.61276107413357817</v>
      </c>
      <c r="AK245" s="86">
        <f t="shared" si="23"/>
        <v>0.61276107413357817</v>
      </c>
    </row>
    <row r="246" spans="1:37" s="93" customFormat="1" x14ac:dyDescent="0.25">
      <c r="B246" s="94"/>
      <c r="C246" s="95"/>
      <c r="I246" s="96"/>
      <c r="J246" s="96"/>
      <c r="K246" s="96"/>
      <c r="L246" s="96"/>
      <c r="M246" s="96"/>
      <c r="N246" s="96"/>
      <c r="O246" s="96"/>
      <c r="P246" s="96"/>
      <c r="Q246" s="96"/>
      <c r="R246" s="96"/>
      <c r="S246" s="96"/>
      <c r="T246" s="96"/>
      <c r="U246" s="96"/>
      <c r="V246" s="96"/>
      <c r="W246" s="96"/>
      <c r="X246" s="96"/>
      <c r="Y246" s="96"/>
      <c r="Z246" s="96"/>
      <c r="AA246" s="96"/>
      <c r="AB246" s="96"/>
      <c r="AC246" s="96"/>
      <c r="AD246" s="96"/>
      <c r="AE246" s="96"/>
      <c r="AF246" s="96"/>
      <c r="AG246" s="96"/>
      <c r="AH246" s="96"/>
      <c r="AI246" s="96"/>
      <c r="AJ246" s="96"/>
      <c r="AK246" s="96"/>
    </row>
    <row r="247" spans="1:37" s="81" customFormat="1" ht="17.25" x14ac:dyDescent="0.3">
      <c r="A247" s="81" t="s">
        <v>427</v>
      </c>
    </row>
    <row r="248" spans="1:37" x14ac:dyDescent="0.25">
      <c r="B248" s="64" t="s">
        <v>33</v>
      </c>
      <c r="C248" t="s">
        <v>336</v>
      </c>
    </row>
    <row r="249" spans="1:37" x14ac:dyDescent="0.25">
      <c r="B249" s="64" t="s">
        <v>626</v>
      </c>
      <c r="C249" t="s">
        <v>823</v>
      </c>
    </row>
    <row r="250" spans="1:37" x14ac:dyDescent="0.25">
      <c r="B250" s="64" t="s">
        <v>420</v>
      </c>
      <c r="C250" t="s">
        <v>838</v>
      </c>
    </row>
    <row r="251" spans="1:37" x14ac:dyDescent="0.25">
      <c r="B251" s="64" t="s">
        <v>429</v>
      </c>
      <c r="C251" s="195" t="s">
        <v>39</v>
      </c>
    </row>
    <row r="252" spans="1:37" x14ac:dyDescent="0.25">
      <c r="B252" s="64" t="s">
        <v>421</v>
      </c>
      <c r="C252" t="s">
        <v>842</v>
      </c>
    </row>
    <row r="253" spans="1:37" x14ac:dyDescent="0.25">
      <c r="B253" s="64" t="s">
        <v>425</v>
      </c>
      <c r="C253" t="s">
        <v>840</v>
      </c>
    </row>
    <row r="254" spans="1:37" x14ac:dyDescent="0.25">
      <c r="B254" s="64"/>
      <c r="C254" t="s">
        <v>841</v>
      </c>
    </row>
    <row r="255" spans="1:37" x14ac:dyDescent="0.25">
      <c r="B255" s="64" t="s">
        <v>333</v>
      </c>
      <c r="C255" t="s">
        <v>843</v>
      </c>
    </row>
    <row r="256" spans="1:37" x14ac:dyDescent="0.25">
      <c r="B256" s="64"/>
      <c r="C256" t="s">
        <v>1046</v>
      </c>
    </row>
    <row r="257" spans="1:37" x14ac:dyDescent="0.25">
      <c r="B257" s="64"/>
      <c r="C257" t="s">
        <v>844</v>
      </c>
    </row>
    <row r="258" spans="1:37" x14ac:dyDescent="0.25">
      <c r="B258" s="64"/>
      <c r="C258" t="s">
        <v>1569</v>
      </c>
    </row>
    <row r="259" spans="1:37" s="83" customFormat="1" ht="15.75" thickBot="1" x14ac:dyDescent="0.3">
      <c r="B259" s="84" t="s">
        <v>334</v>
      </c>
      <c r="C259" s="83" t="s">
        <v>845</v>
      </c>
    </row>
    <row r="260" spans="1:37" s="9" customFormat="1" ht="15.75" thickTop="1" x14ac:dyDescent="0.25">
      <c r="B260" s="66" t="s">
        <v>34</v>
      </c>
      <c r="C260" s="126" t="s">
        <v>35</v>
      </c>
      <c r="I260" s="97"/>
      <c r="J260" s="97"/>
      <c r="K260" s="97"/>
      <c r="L260" s="97"/>
      <c r="M260" s="97"/>
      <c r="N260" s="97"/>
      <c r="O260" s="97"/>
      <c r="P260" s="97"/>
      <c r="Q260" s="97"/>
      <c r="R260" s="97"/>
      <c r="S260" s="97"/>
      <c r="T260" s="97"/>
      <c r="U260" s="97"/>
      <c r="V260" s="97"/>
      <c r="W260" s="97"/>
      <c r="X260" s="97"/>
      <c r="Y260" s="97"/>
      <c r="Z260" s="97"/>
      <c r="AA260" s="97"/>
      <c r="AB260" s="97"/>
      <c r="AC260" s="97"/>
      <c r="AD260" s="97"/>
      <c r="AE260" s="97"/>
      <c r="AF260" s="97"/>
      <c r="AG260" s="97"/>
      <c r="AH260" s="97"/>
      <c r="AI260" s="97"/>
      <c r="AJ260" s="97"/>
      <c r="AK260" s="97"/>
    </row>
    <row r="261" spans="1:37" s="9" customFormat="1" x14ac:dyDescent="0.25">
      <c r="B261" s="66"/>
      <c r="C261" s="51"/>
      <c r="D261" s="9" t="s">
        <v>663</v>
      </c>
      <c r="H261" s="9" t="s">
        <v>1015</v>
      </c>
      <c r="I261" s="97"/>
      <c r="J261" s="97"/>
      <c r="K261" s="97"/>
      <c r="L261" s="97"/>
      <c r="M261" s="97"/>
      <c r="N261" s="97">
        <f>Datasheet!N18</f>
        <v>-81</v>
      </c>
      <c r="O261" s="97">
        <f>Datasheet!O18</f>
        <v>12</v>
      </c>
      <c r="P261" s="97">
        <f>Datasheet!P18</f>
        <v>18</v>
      </c>
      <c r="Q261" s="97">
        <f>Datasheet!Q18</f>
        <v>-1</v>
      </c>
      <c r="R261" s="97">
        <f>Datasheet!R18</f>
        <v>67</v>
      </c>
      <c r="S261" s="97">
        <f>Datasheet!S18</f>
        <v>-32</v>
      </c>
      <c r="T261" s="97">
        <f>Datasheet!T18</f>
        <v>-12</v>
      </c>
      <c r="U261" s="97">
        <f>Datasheet!U18</f>
        <v>-14</v>
      </c>
      <c r="V261" s="97">
        <f>Datasheet!V18</f>
        <v>-2195</v>
      </c>
      <c r="W261" s="97">
        <f>Datasheet!W18</f>
        <v>-75.599999999999994</v>
      </c>
      <c r="X261" s="97">
        <f>Datasheet!X18</f>
        <v>13</v>
      </c>
      <c r="Y261" s="97">
        <f>Datasheet!Y18</f>
        <v>126.57239999999999</v>
      </c>
      <c r="Z261" s="97">
        <f>Datasheet!Z18</f>
        <v>5</v>
      </c>
      <c r="AA261" s="97">
        <f>Datasheet!AA18</f>
        <v>36</v>
      </c>
      <c r="AB261" s="97">
        <f>Datasheet!AB18</f>
        <v>0</v>
      </c>
      <c r="AC261" s="97">
        <f>Datasheet!AC18</f>
        <v>0</v>
      </c>
      <c r="AD261" s="97">
        <f>Datasheet!AD18</f>
        <v>0</v>
      </c>
      <c r="AE261" s="97">
        <f>Datasheet!AE18</f>
        <v>0</v>
      </c>
      <c r="AF261" s="97">
        <f>Datasheet!AF18</f>
        <v>0</v>
      </c>
      <c r="AG261" s="97">
        <f>Datasheet!AG18</f>
        <v>0</v>
      </c>
      <c r="AH261" s="97">
        <f>Datasheet!AH18</f>
        <v>0</v>
      </c>
      <c r="AI261" s="97">
        <f>Datasheet!AI18</f>
        <v>0</v>
      </c>
      <c r="AJ261" s="97">
        <f>Datasheet!AJ18</f>
        <v>0</v>
      </c>
      <c r="AK261" s="97">
        <f>Datasheet!AK18</f>
        <v>0</v>
      </c>
    </row>
    <row r="262" spans="1:37" s="9" customFormat="1" x14ac:dyDescent="0.25">
      <c r="B262" s="66"/>
      <c r="C262" s="51"/>
      <c r="D262" s="9" t="s">
        <v>846</v>
      </c>
      <c r="H262" s="9" t="s">
        <v>1015</v>
      </c>
      <c r="I262" s="97"/>
      <c r="J262" s="97"/>
      <c r="K262" s="97"/>
      <c r="L262" s="97"/>
      <c r="M262" s="97"/>
      <c r="N262" s="97"/>
      <c r="O262" s="97"/>
      <c r="P262" s="97"/>
      <c r="Q262" s="97"/>
      <c r="S262" s="97">
        <f>SUM($S261:S261)</f>
        <v>-32</v>
      </c>
      <c r="T262" s="97">
        <f>SUM($S261:T261)</f>
        <v>-44</v>
      </c>
      <c r="U262" s="97">
        <f>SUM($S261:U261)</f>
        <v>-58</v>
      </c>
      <c r="V262" s="97">
        <f>SUM($S261:V261)</f>
        <v>-2253</v>
      </c>
      <c r="W262" s="97">
        <f>SUM($S261:W261)</f>
        <v>-2328.6</v>
      </c>
      <c r="X262" s="97">
        <f>SUM($S261:X261)</f>
        <v>-2315.6</v>
      </c>
      <c r="Y262" s="97">
        <f>SUM($S261:Y261)</f>
        <v>-2189.0275999999999</v>
      </c>
      <c r="Z262" s="97">
        <f>SUM($S261:Z261)</f>
        <v>-2184.0275999999999</v>
      </c>
      <c r="AA262" s="97">
        <f>SUM($S261:AA261)</f>
        <v>-2148.0275999999999</v>
      </c>
      <c r="AB262" s="97">
        <f>SUM($S261:AB261)</f>
        <v>-2148.0275999999999</v>
      </c>
      <c r="AC262" s="97">
        <f>SUM($S261:AC261)</f>
        <v>-2148.0275999999999</v>
      </c>
      <c r="AD262" s="97">
        <f>SUM($S261:AD261)</f>
        <v>-2148.0275999999999</v>
      </c>
      <c r="AE262" s="97">
        <f>SUM($S261:AE261)</f>
        <v>-2148.0275999999999</v>
      </c>
      <c r="AF262" s="97">
        <f>SUM($S261:AF261)</f>
        <v>-2148.0275999999999</v>
      </c>
      <c r="AG262" s="97">
        <f>SUM($S261:AG261)</f>
        <v>-2148.0275999999999</v>
      </c>
      <c r="AH262" s="97">
        <f>SUM($S261:AH261)</f>
        <v>-2148.0275999999999</v>
      </c>
      <c r="AI262" s="97">
        <f>SUM($S261:AI261)</f>
        <v>-2148.0275999999999</v>
      </c>
      <c r="AJ262" s="97">
        <f>SUM($S261:AJ261)</f>
        <v>-2148.0275999999999</v>
      </c>
      <c r="AK262" s="97">
        <f>SUM($S261:AK261)</f>
        <v>-2148.0275999999999</v>
      </c>
    </row>
    <row r="263" spans="1:37" s="9" customFormat="1" x14ac:dyDescent="0.25">
      <c r="B263" s="66"/>
      <c r="C263" s="51"/>
      <c r="D263" s="9" t="s">
        <v>847</v>
      </c>
      <c r="H263" s="9" t="s">
        <v>1015</v>
      </c>
      <c r="I263" s="97"/>
      <c r="J263" s="97"/>
      <c r="K263" s="97"/>
      <c r="L263" s="97"/>
      <c r="M263" s="97">
        <f>N263-N261</f>
        <v>-579</v>
      </c>
      <c r="N263" s="97">
        <f>O263-O261</f>
        <v>-660</v>
      </c>
      <c r="O263" s="97">
        <f>P263-P261</f>
        <v>-648</v>
      </c>
      <c r="P263" s="97">
        <f>Q263-Q261</f>
        <v>-630</v>
      </c>
      <c r="Q263" s="97">
        <f>R263-R261</f>
        <v>-631</v>
      </c>
      <c r="R263" s="97">
        <v>-564</v>
      </c>
      <c r="S263" s="97"/>
      <c r="T263" s="97"/>
      <c r="U263" s="97"/>
      <c r="V263" s="97"/>
      <c r="W263" s="97"/>
      <c r="X263" s="97"/>
      <c r="Y263" s="97"/>
      <c r="Z263" s="97"/>
      <c r="AA263" s="97"/>
      <c r="AB263" s="97"/>
      <c r="AC263" s="97"/>
      <c r="AD263" s="97"/>
      <c r="AE263" s="97"/>
      <c r="AF263" s="97"/>
      <c r="AG263" s="97"/>
      <c r="AH263" s="97"/>
      <c r="AI263" s="97"/>
      <c r="AJ263" s="97"/>
      <c r="AK263" s="97"/>
    </row>
    <row r="264" spans="1:37" s="9" customFormat="1" x14ac:dyDescent="0.25">
      <c r="B264" s="66"/>
      <c r="C264" s="126" t="s">
        <v>38</v>
      </c>
      <c r="I264" s="97"/>
      <c r="J264" s="97"/>
      <c r="K264" s="97"/>
      <c r="L264" s="97"/>
      <c r="M264" s="97"/>
      <c r="N264" s="97"/>
      <c r="O264" s="97"/>
      <c r="P264" s="97"/>
      <c r="Q264" s="97"/>
      <c r="S264" s="97"/>
      <c r="T264" s="97"/>
      <c r="U264" s="97"/>
      <c r="V264" s="97"/>
      <c r="W264" s="97"/>
      <c r="X264" s="97"/>
      <c r="Y264" s="97"/>
      <c r="Z264" s="97"/>
      <c r="AA264" s="97"/>
      <c r="AB264" s="97"/>
      <c r="AC264" s="97"/>
      <c r="AD264" s="97"/>
      <c r="AE264" s="97"/>
      <c r="AF264" s="97"/>
      <c r="AG264" s="97"/>
      <c r="AH264" s="97"/>
      <c r="AI264" s="97"/>
      <c r="AJ264" s="97"/>
      <c r="AK264" s="97"/>
    </row>
    <row r="265" spans="1:37" s="9" customFormat="1" x14ac:dyDescent="0.25">
      <c r="B265" s="66"/>
      <c r="C265" s="51"/>
      <c r="D265" s="9" t="s">
        <v>663</v>
      </c>
      <c r="H265" s="9" t="s">
        <v>1016</v>
      </c>
      <c r="I265" s="97"/>
      <c r="J265" s="97"/>
      <c r="K265" s="97"/>
      <c r="L265" s="97"/>
      <c r="M265" s="97"/>
      <c r="N265" s="97"/>
      <c r="O265" s="97"/>
      <c r="P265" s="97"/>
      <c r="Q265" s="97"/>
      <c r="R265" s="97"/>
      <c r="S265" s="97">
        <f>Datasheet!S34</f>
        <v>0</v>
      </c>
      <c r="T265" s="97">
        <f>Datasheet!T34</f>
        <v>0</v>
      </c>
      <c r="U265" s="97">
        <f>Datasheet!U34</f>
        <v>0</v>
      </c>
      <c r="V265" s="97">
        <f>Datasheet!V34</f>
        <v>-317</v>
      </c>
      <c r="W265" s="97">
        <f>Datasheet!W34</f>
        <v>89.024727564102562</v>
      </c>
      <c r="X265" s="97">
        <f>Datasheet!X34</f>
        <v>0</v>
      </c>
      <c r="Y265" s="97">
        <f>Datasheet!Y34</f>
        <v>0</v>
      </c>
      <c r="Z265" s="97">
        <f>Datasheet!Z34</f>
        <v>-22</v>
      </c>
      <c r="AA265" s="97">
        <f>Datasheet!AA34</f>
        <v>0</v>
      </c>
      <c r="AB265" s="97">
        <f>Datasheet!AB34</f>
        <v>0</v>
      </c>
      <c r="AC265" s="97">
        <f>Datasheet!AC34</f>
        <v>0</v>
      </c>
      <c r="AD265" s="97">
        <f>Datasheet!AD34</f>
        <v>0</v>
      </c>
      <c r="AE265" s="97">
        <f>Datasheet!AE34</f>
        <v>0</v>
      </c>
      <c r="AF265" s="97">
        <f>Datasheet!AF34</f>
        <v>0</v>
      </c>
      <c r="AG265" s="97">
        <f>Datasheet!AG34</f>
        <v>0</v>
      </c>
      <c r="AH265" s="97">
        <f>Datasheet!AH34</f>
        <v>0</v>
      </c>
      <c r="AI265" s="97">
        <f>Datasheet!AI34</f>
        <v>0</v>
      </c>
      <c r="AJ265" s="97">
        <f>Datasheet!AJ34</f>
        <v>0</v>
      </c>
      <c r="AK265" s="97">
        <f>Datasheet!AK34</f>
        <v>0</v>
      </c>
    </row>
    <row r="266" spans="1:37" s="9" customFormat="1" x14ac:dyDescent="0.25">
      <c r="B266" s="66"/>
      <c r="C266" s="51"/>
      <c r="D266" s="9" t="s">
        <v>846</v>
      </c>
      <c r="H266" s="9" t="s">
        <v>1016</v>
      </c>
      <c r="I266" s="97"/>
      <c r="J266" s="97"/>
      <c r="K266" s="97"/>
      <c r="L266" s="97"/>
      <c r="M266" s="97"/>
      <c r="N266" s="97"/>
      <c r="O266" s="97"/>
      <c r="P266" s="97"/>
      <c r="Q266" s="97"/>
      <c r="R266" s="97"/>
      <c r="S266" s="97">
        <f>SUM($S265:S265)</f>
        <v>0</v>
      </c>
      <c r="T266" s="97">
        <f>SUM($S265:T265)</f>
        <v>0</v>
      </c>
      <c r="U266" s="97">
        <f>SUM($S265:U265)</f>
        <v>0</v>
      </c>
      <c r="V266" s="97">
        <f>SUM($S265:V265)</f>
        <v>-317</v>
      </c>
      <c r="W266" s="97">
        <f>SUM($S265:W265)</f>
        <v>-227.97527243589744</v>
      </c>
      <c r="X266" s="97">
        <f>SUM($S265:X265)</f>
        <v>-227.97527243589744</v>
      </c>
      <c r="Y266" s="97">
        <f>SUM($S265:Y265)</f>
        <v>-227.97527243589744</v>
      </c>
      <c r="Z266" s="97">
        <f>SUM($S265:Z265)</f>
        <v>-249.97527243589744</v>
      </c>
      <c r="AA266" s="97">
        <f>SUM($S265:AA265)</f>
        <v>-249.97527243589744</v>
      </c>
      <c r="AB266" s="97">
        <f>SUM($S265:AB265)</f>
        <v>-249.97527243589744</v>
      </c>
      <c r="AC266" s="97">
        <f>SUM($S265:AC265)</f>
        <v>-249.97527243589744</v>
      </c>
      <c r="AD266" s="97">
        <f>SUM($S265:AD265)</f>
        <v>-249.97527243589744</v>
      </c>
      <c r="AE266" s="97">
        <f>SUM($S265:AE265)</f>
        <v>-249.97527243589744</v>
      </c>
      <c r="AF266" s="97">
        <f>SUM($S265:AF265)</f>
        <v>-249.97527243589744</v>
      </c>
      <c r="AG266" s="97">
        <f>SUM($S265:AG265)</f>
        <v>-249.97527243589744</v>
      </c>
      <c r="AH266" s="97">
        <f>SUM($S265:AH265)</f>
        <v>-249.97527243589744</v>
      </c>
      <c r="AI266" s="97">
        <f>SUM($S265:AI265)</f>
        <v>-249.97527243589744</v>
      </c>
      <c r="AJ266" s="97">
        <f>SUM($S265:AJ265)</f>
        <v>-249.97527243589744</v>
      </c>
      <c r="AK266" s="97">
        <f>SUM($S265:AK265)</f>
        <v>-249.97527243589744</v>
      </c>
    </row>
    <row r="267" spans="1:37" s="9" customFormat="1" x14ac:dyDescent="0.25">
      <c r="B267" s="66"/>
      <c r="C267" s="126" t="s">
        <v>272</v>
      </c>
      <c r="I267" s="97"/>
      <c r="J267" s="97"/>
      <c r="K267" s="97"/>
      <c r="L267" s="97"/>
      <c r="M267" s="97"/>
      <c r="N267" s="97"/>
      <c r="O267" s="97"/>
      <c r="P267" s="97"/>
      <c r="Q267" s="97"/>
      <c r="R267" s="97"/>
      <c r="S267" s="97"/>
      <c r="T267" s="97"/>
      <c r="U267" s="97"/>
      <c r="V267" s="97"/>
      <c r="W267" s="97"/>
      <c r="X267" s="97"/>
      <c r="Y267" s="97"/>
      <c r="Z267" s="97"/>
      <c r="AA267" s="97"/>
      <c r="AB267" s="97"/>
      <c r="AC267" s="97"/>
      <c r="AD267" s="97"/>
      <c r="AE267" s="97"/>
      <c r="AF267" s="97"/>
      <c r="AG267" s="97"/>
      <c r="AH267" s="97"/>
      <c r="AI267" s="97"/>
      <c r="AJ267" s="97"/>
      <c r="AK267" s="97"/>
    </row>
    <row r="268" spans="1:37" s="9" customFormat="1" x14ac:dyDescent="0.25">
      <c r="B268" s="66"/>
      <c r="C268" s="51"/>
      <c r="D268" s="9" t="s">
        <v>663</v>
      </c>
      <c r="H268" s="9" t="s">
        <v>1017</v>
      </c>
      <c r="I268" s="97"/>
      <c r="J268" s="97"/>
      <c r="K268" s="97"/>
      <c r="L268" s="97"/>
      <c r="M268" s="97"/>
      <c r="N268" s="97"/>
      <c r="O268" s="97"/>
      <c r="P268" s="97"/>
      <c r="Q268" s="97"/>
      <c r="R268" s="97"/>
      <c r="S268" s="97">
        <f>Datasheet!S44</f>
        <v>0</v>
      </c>
      <c r="T268" s="97">
        <f>Datasheet!T44</f>
        <v>0</v>
      </c>
      <c r="U268" s="97">
        <f>Datasheet!U44</f>
        <v>0</v>
      </c>
      <c r="V268" s="97">
        <f>Datasheet!V44</f>
        <v>-451</v>
      </c>
      <c r="W268" s="97">
        <f>Datasheet!W44</f>
        <v>94379.124242499995</v>
      </c>
      <c r="X268" s="97">
        <f>Datasheet!X44</f>
        <v>-30650.994000000002</v>
      </c>
      <c r="Y268" s="97">
        <f>Datasheet!Y44</f>
        <v>32476.594000000001</v>
      </c>
      <c r="Z268" s="97">
        <f>Datasheet!Z44</f>
        <v>-9339</v>
      </c>
      <c r="AA268" s="97">
        <f>Datasheet!AA44</f>
        <v>-8102.1599999999962</v>
      </c>
      <c r="AB268" s="97">
        <f>Datasheet!AB44</f>
        <v>0</v>
      </c>
      <c r="AC268" s="97">
        <f>Datasheet!AC44</f>
        <v>0</v>
      </c>
      <c r="AD268" s="97">
        <f>Datasheet!AD44</f>
        <v>0</v>
      </c>
      <c r="AE268" s="97">
        <f>Datasheet!AE44</f>
        <v>0</v>
      </c>
      <c r="AF268" s="97">
        <f>Datasheet!AF44</f>
        <v>0</v>
      </c>
      <c r="AG268" s="97">
        <f>Datasheet!AG44</f>
        <v>0</v>
      </c>
      <c r="AH268" s="97">
        <f>Datasheet!AH44</f>
        <v>0</v>
      </c>
      <c r="AI268" s="97">
        <f>Datasheet!AI44</f>
        <v>0</v>
      </c>
      <c r="AJ268" s="97">
        <f>Datasheet!AJ44</f>
        <v>0</v>
      </c>
      <c r="AK268" s="97">
        <f>Datasheet!AK44</f>
        <v>0</v>
      </c>
    </row>
    <row r="269" spans="1:37" s="9" customFormat="1" x14ac:dyDescent="0.25">
      <c r="B269" s="66"/>
      <c r="C269" s="51"/>
      <c r="D269" s="9" t="s">
        <v>846</v>
      </c>
      <c r="H269" s="9" t="s">
        <v>1017</v>
      </c>
      <c r="I269" s="97"/>
      <c r="J269" s="97"/>
      <c r="K269" s="97"/>
      <c r="L269" s="97"/>
      <c r="M269" s="97"/>
      <c r="N269" s="97"/>
      <c r="O269" s="97"/>
      <c r="P269" s="97"/>
      <c r="Q269" s="97"/>
      <c r="R269" s="97"/>
      <c r="S269" s="97">
        <f>SUM($S268:S268)</f>
        <v>0</v>
      </c>
      <c r="T269" s="97">
        <f>SUM($S268:T268)</f>
        <v>0</v>
      </c>
      <c r="U269" s="97">
        <f>SUM($S268:U268)</f>
        <v>0</v>
      </c>
      <c r="V269" s="97">
        <f>SUM($S268:V268)</f>
        <v>-451</v>
      </c>
      <c r="W269" s="97">
        <f>SUM($S268:W268)</f>
        <v>93928.124242499995</v>
      </c>
      <c r="X269" s="97">
        <f>SUM($S268:X268)</f>
        <v>63277.130242499989</v>
      </c>
      <c r="Y269" s="97">
        <f>SUM($S268:Y268)</f>
        <v>95753.724242499986</v>
      </c>
      <c r="Z269" s="97">
        <f>SUM($S268:Z268)</f>
        <v>86414.724242499986</v>
      </c>
      <c r="AA269" s="97">
        <f>SUM($S268:AA268)</f>
        <v>78312.564242499997</v>
      </c>
      <c r="AB269" s="97">
        <f>SUM($S268:AB268)</f>
        <v>78312.564242499997</v>
      </c>
      <c r="AC269" s="97">
        <f>SUM($S268:AC268)</f>
        <v>78312.564242499997</v>
      </c>
      <c r="AD269" s="97">
        <f>SUM($S268:AD268)</f>
        <v>78312.564242499997</v>
      </c>
      <c r="AE269" s="97">
        <f>SUM($S268:AE268)</f>
        <v>78312.564242499997</v>
      </c>
      <c r="AF269" s="97">
        <f>SUM($S268:AF268)</f>
        <v>78312.564242499997</v>
      </c>
      <c r="AG269" s="97">
        <f>SUM($S268:AG268)</f>
        <v>78312.564242499997</v>
      </c>
      <c r="AH269" s="97">
        <f>SUM($S268:AH268)</f>
        <v>78312.564242499997</v>
      </c>
      <c r="AI269" s="97">
        <f>SUM($S268:AI268)</f>
        <v>78312.564242499997</v>
      </c>
      <c r="AJ269" s="97">
        <f>SUM($S268:AJ268)</f>
        <v>78312.564242499997</v>
      </c>
      <c r="AK269" s="97">
        <f>SUM($S268:AK268)</f>
        <v>78312.564242499997</v>
      </c>
    </row>
    <row r="270" spans="1:37" s="93" customFormat="1" x14ac:dyDescent="0.25">
      <c r="B270" s="94"/>
      <c r="C270" s="95"/>
      <c r="I270" s="96"/>
      <c r="J270" s="96"/>
      <c r="K270" s="96"/>
      <c r="L270" s="96"/>
      <c r="M270" s="96"/>
      <c r="N270" s="96"/>
      <c r="O270" s="96"/>
      <c r="P270" s="96"/>
      <c r="Q270" s="96"/>
      <c r="R270" s="96"/>
      <c r="S270" s="96"/>
      <c r="T270" s="96"/>
      <c r="U270" s="96"/>
      <c r="V270" s="96"/>
      <c r="W270" s="96"/>
      <c r="X270" s="96"/>
      <c r="Y270" s="96"/>
      <c r="Z270" s="96"/>
      <c r="AA270" s="96"/>
      <c r="AB270" s="96"/>
      <c r="AC270" s="96"/>
      <c r="AD270" s="96"/>
      <c r="AE270" s="96"/>
      <c r="AF270" s="96"/>
      <c r="AG270" s="96"/>
      <c r="AH270" s="96"/>
      <c r="AI270" s="96"/>
      <c r="AJ270" s="96"/>
      <c r="AK270" s="96"/>
    </row>
    <row r="271" spans="1:37" s="81" customFormat="1" ht="17.25" x14ac:dyDescent="0.3">
      <c r="A271" s="81" t="s">
        <v>402</v>
      </c>
    </row>
    <row r="272" spans="1:37" x14ac:dyDescent="0.25">
      <c r="B272" s="64" t="s">
        <v>33</v>
      </c>
      <c r="C272" t="s">
        <v>336</v>
      </c>
    </row>
    <row r="273" spans="2:4" x14ac:dyDescent="0.25">
      <c r="B273" s="64" t="s">
        <v>626</v>
      </c>
      <c r="C273" t="s">
        <v>1285</v>
      </c>
    </row>
    <row r="274" spans="2:4" x14ac:dyDescent="0.25">
      <c r="B274" s="64" t="s">
        <v>420</v>
      </c>
      <c r="C274" t="s">
        <v>1286</v>
      </c>
    </row>
    <row r="275" spans="2:4" x14ac:dyDescent="0.25">
      <c r="B275" s="64" t="s">
        <v>429</v>
      </c>
      <c r="C275" s="195" t="s">
        <v>402</v>
      </c>
    </row>
    <row r="276" spans="2:4" x14ac:dyDescent="0.25">
      <c r="B276" s="64" t="s">
        <v>421</v>
      </c>
      <c r="C276" t="s">
        <v>1051</v>
      </c>
    </row>
    <row r="277" spans="2:4" x14ac:dyDescent="0.25">
      <c r="B277" s="64" t="s">
        <v>425</v>
      </c>
      <c r="C277" t="s">
        <v>1308</v>
      </c>
    </row>
    <row r="278" spans="2:4" x14ac:dyDescent="0.25">
      <c r="B278" s="64" t="s">
        <v>333</v>
      </c>
      <c r="C278" t="s">
        <v>1063</v>
      </c>
    </row>
    <row r="279" spans="2:4" x14ac:dyDescent="0.25">
      <c r="B279" s="64"/>
      <c r="C279" t="s">
        <v>1309</v>
      </c>
    </row>
    <row r="280" spans="2:4" s="223" customFormat="1" x14ac:dyDescent="0.25">
      <c r="B280" s="64"/>
      <c r="D280" s="223" t="s">
        <v>1310</v>
      </c>
    </row>
    <row r="281" spans="2:4" s="223" customFormat="1" x14ac:dyDescent="0.25">
      <c r="B281" s="64"/>
      <c r="D281" s="223" t="s">
        <v>1311</v>
      </c>
    </row>
    <row r="282" spans="2:4" x14ac:dyDescent="0.25">
      <c r="B282" s="64"/>
      <c r="C282" t="s">
        <v>1047</v>
      </c>
    </row>
    <row r="283" spans="2:4" s="83" customFormat="1" ht="15.75" thickBot="1" x14ac:dyDescent="0.3">
      <c r="B283" s="84" t="s">
        <v>334</v>
      </c>
      <c r="C283" s="83" t="s">
        <v>1570</v>
      </c>
    </row>
    <row r="284" spans="2:4" s="5" customFormat="1" ht="15.75" thickTop="1" x14ac:dyDescent="0.25"/>
    <row r="285" spans="2:4" s="5" customFormat="1" x14ac:dyDescent="0.25"/>
    <row r="286" spans="2:4" s="5" customFormat="1" x14ac:dyDescent="0.25"/>
    <row r="287" spans="2:4" s="5" customFormat="1" x14ac:dyDescent="0.25"/>
    <row r="288" spans="2:4" s="5" customFormat="1" x14ac:dyDescent="0.25"/>
    <row r="289" spans="2:37" s="5" customFormat="1" x14ac:dyDescent="0.25"/>
    <row r="290" spans="2:37" s="5" customFormat="1" x14ac:dyDescent="0.25"/>
    <row r="291" spans="2:37" s="5" customFormat="1" x14ac:dyDescent="0.25"/>
    <row r="292" spans="2:37" s="5" customFormat="1" x14ac:dyDescent="0.25"/>
    <row r="293" spans="2:37" s="5" customFormat="1" x14ac:dyDescent="0.25"/>
    <row r="294" spans="2:37" s="5" customFormat="1" x14ac:dyDescent="0.25"/>
    <row r="295" spans="2:37" s="5" customFormat="1" x14ac:dyDescent="0.25"/>
    <row r="296" spans="2:37" s="5" customFormat="1" x14ac:dyDescent="0.25"/>
    <row r="297" spans="2:37" s="5" customFormat="1" x14ac:dyDescent="0.25"/>
    <row r="298" spans="2:37" s="5" customFormat="1" x14ac:dyDescent="0.25"/>
    <row r="299" spans="2:37" s="9" customFormat="1" x14ac:dyDescent="0.25">
      <c r="B299" s="66" t="s">
        <v>34</v>
      </c>
      <c r="C299" s="126" t="s">
        <v>1</v>
      </c>
      <c r="I299" s="97"/>
      <c r="J299" s="97"/>
      <c r="K299" s="97"/>
      <c r="L299" s="97"/>
      <c r="M299" s="97"/>
      <c r="N299" s="97"/>
      <c r="O299" s="97"/>
      <c r="P299" s="97"/>
      <c r="Q299" s="97"/>
      <c r="R299" s="97"/>
      <c r="S299" s="97"/>
      <c r="T299" s="97"/>
      <c r="U299" s="97"/>
      <c r="V299" s="97"/>
      <c r="W299" s="97"/>
      <c r="X299" s="97"/>
      <c r="Y299" s="97"/>
      <c r="Z299" s="97"/>
      <c r="AA299" s="97"/>
      <c r="AB299" s="97"/>
      <c r="AC299" s="97"/>
      <c r="AD299" s="97"/>
      <c r="AE299" s="97"/>
      <c r="AF299" s="97"/>
      <c r="AG299" s="97"/>
      <c r="AH299" s="97"/>
      <c r="AI299" s="97"/>
      <c r="AJ299" s="97"/>
      <c r="AK299" s="97"/>
    </row>
    <row r="300" spans="2:37" s="9" customFormat="1" x14ac:dyDescent="0.25">
      <c r="B300" s="66"/>
      <c r="C300" s="9" t="s">
        <v>1301</v>
      </c>
      <c r="H300" s="9" t="s">
        <v>1015</v>
      </c>
      <c r="I300" s="97"/>
      <c r="J300" s="97"/>
      <c r="K300" s="97"/>
      <c r="L300" s="97"/>
      <c r="M300" s="97"/>
      <c r="N300" s="97"/>
      <c r="O300" s="97"/>
      <c r="P300" s="97"/>
      <c r="Q300" s="97"/>
      <c r="R300" s="97"/>
      <c r="S300" s="97"/>
      <c r="T300" s="97"/>
      <c r="U300" s="97"/>
      <c r="V300" s="97"/>
      <c r="W300" s="97">
        <f>SUM(Datasheet!W856,Datasheet!W866,Datasheet!W876)</f>
        <v>72</v>
      </c>
      <c r="X300" s="97">
        <f>SUM(Datasheet!X856,Datasheet!X866,Datasheet!X876)</f>
        <v>94</v>
      </c>
      <c r="Y300" s="97">
        <f>SUM(Datasheet!Y856,Datasheet!Y866,Datasheet!Y876)</f>
        <v>60</v>
      </c>
      <c r="Z300" s="97">
        <f>SUM(Datasheet!Z856,Datasheet!Z866,Datasheet!Z876)</f>
        <v>96</v>
      </c>
      <c r="AA300" s="97">
        <f>SUM(Datasheet!AA856,Datasheet!AA866,Datasheet!AA876)</f>
        <v>94</v>
      </c>
      <c r="AB300" s="97">
        <f>SUM(Datasheet!AB856,Datasheet!AB866,Datasheet!AB876)</f>
        <v>0</v>
      </c>
      <c r="AC300" s="97">
        <f>SUM(Datasheet!AC856,Datasheet!AC866,Datasheet!AC876)</f>
        <v>0</v>
      </c>
      <c r="AD300" s="97">
        <f>SUM(Datasheet!AD856,Datasheet!AD866,Datasheet!AD876)</f>
        <v>0</v>
      </c>
      <c r="AE300" s="97">
        <f>SUM(Datasheet!AE856,Datasheet!AE866,Datasheet!AE876)</f>
        <v>0</v>
      </c>
      <c r="AF300" s="97">
        <f>SUM(Datasheet!AF856,Datasheet!AF866,Datasheet!AF876)</f>
        <v>0</v>
      </c>
      <c r="AG300" s="97">
        <f>SUM(Datasheet!AG856,Datasheet!AG866,Datasheet!AG876)</f>
        <v>0</v>
      </c>
      <c r="AH300" s="97">
        <f>SUM(Datasheet!AH856,Datasheet!AH866,Datasheet!AH876)</f>
        <v>0</v>
      </c>
      <c r="AI300" s="97">
        <f>SUM(Datasheet!AI856,Datasheet!AI866,Datasheet!AI876)</f>
        <v>0</v>
      </c>
      <c r="AJ300" s="97">
        <f>SUM(Datasheet!AJ856,Datasheet!AJ866,Datasheet!AJ876)</f>
        <v>0</v>
      </c>
      <c r="AK300" s="97">
        <f>SUM(Datasheet!AK856,Datasheet!AK866,Datasheet!AK876)</f>
        <v>0</v>
      </c>
    </row>
    <row r="301" spans="2:37" s="9" customFormat="1" x14ac:dyDescent="0.25">
      <c r="B301" s="66"/>
      <c r="C301" s="51" t="s">
        <v>1302</v>
      </c>
      <c r="H301" s="9" t="s">
        <v>1015</v>
      </c>
      <c r="I301" s="97"/>
      <c r="J301" s="97"/>
      <c r="K301" s="97"/>
      <c r="L301" s="97"/>
      <c r="M301" s="97"/>
      <c r="N301" s="97"/>
      <c r="O301" s="97"/>
      <c r="P301" s="97"/>
      <c r="Q301" s="97"/>
      <c r="R301" s="97"/>
      <c r="S301" s="97"/>
      <c r="T301" s="97"/>
      <c r="U301" s="97"/>
      <c r="V301" s="97"/>
      <c r="W301" s="97">
        <f>SUM(Datasheet!W860:W862,Datasheet!W870:W872,Datasheet!W880:W882)</f>
        <v>115</v>
      </c>
      <c r="X301" s="97">
        <f>SUM(Datasheet!X860:X862,Datasheet!X870:X872,Datasheet!X880:X882)</f>
        <v>150</v>
      </c>
      <c r="Y301" s="97">
        <f>SUM(Datasheet!Y860:Y862,Datasheet!Y870:Y872,Datasheet!Y880:Y882)</f>
        <v>123</v>
      </c>
      <c r="Z301" s="97">
        <f>SUM(Datasheet!Z860:Z862,Datasheet!Z870:Z872,Datasheet!Z880:Z882)</f>
        <v>106</v>
      </c>
      <c r="AA301" s="97">
        <f>SUM(Datasheet!AA860:AA862,Datasheet!AA870:AA872,Datasheet!AA880:AA882)</f>
        <v>177</v>
      </c>
      <c r="AB301" s="97">
        <f>SUM(Datasheet!AB860:AB862,Datasheet!AB870:AB872,Datasheet!AB880:AB882)</f>
        <v>0</v>
      </c>
      <c r="AC301" s="97">
        <f>SUM(Datasheet!AC860:AC862,Datasheet!AC870:AC872,Datasheet!AC880:AC882)</f>
        <v>0</v>
      </c>
      <c r="AD301" s="97">
        <f>SUM(Datasheet!AD860:AD862,Datasheet!AD870:AD872,Datasheet!AD880:AD882)</f>
        <v>0</v>
      </c>
      <c r="AE301" s="97">
        <f>SUM(Datasheet!AE860:AE862,Datasheet!AE870:AE872,Datasheet!AE880:AE882)</f>
        <v>0</v>
      </c>
      <c r="AF301" s="97">
        <f>SUM(Datasheet!AF860:AF862,Datasheet!AF870:AF872,Datasheet!AF880:AF882)</f>
        <v>0</v>
      </c>
      <c r="AG301" s="97">
        <f>SUM(Datasheet!AG860:AG862,Datasheet!AG870:AG872,Datasheet!AG880:AG882)</f>
        <v>0</v>
      </c>
      <c r="AH301" s="97">
        <f>SUM(Datasheet!AH860:AH862,Datasheet!AH870:AH872,Datasheet!AH880:AH882)</f>
        <v>0</v>
      </c>
      <c r="AI301" s="97">
        <f>SUM(Datasheet!AI860:AI862,Datasheet!AI870:AI872,Datasheet!AI880:AI882)</f>
        <v>0</v>
      </c>
      <c r="AJ301" s="97">
        <f>SUM(Datasheet!AJ860:AJ862,Datasheet!AJ870:AJ872,Datasheet!AJ880:AJ882)</f>
        <v>0</v>
      </c>
      <c r="AK301" s="97">
        <f>SUM(Datasheet!AK860:AK862,Datasheet!AK870:AK872,Datasheet!AK880:AK882)</f>
        <v>0</v>
      </c>
    </row>
    <row r="302" spans="2:37" s="9" customFormat="1" x14ac:dyDescent="0.25">
      <c r="B302" s="66"/>
      <c r="C302" s="51" t="s">
        <v>1303</v>
      </c>
      <c r="H302" s="9" t="s">
        <v>1015</v>
      </c>
      <c r="I302" s="97"/>
      <c r="J302" s="97"/>
      <c r="K302" s="97"/>
      <c r="L302" s="97"/>
      <c r="M302" s="97"/>
      <c r="N302" s="97"/>
      <c r="O302" s="97"/>
      <c r="P302" s="97"/>
      <c r="Q302" s="97"/>
      <c r="R302" s="97"/>
      <c r="S302" s="97"/>
      <c r="T302" s="97"/>
      <c r="U302" s="97"/>
      <c r="V302" s="97"/>
      <c r="W302" s="97">
        <f>SUM(Datasheet!W863,Datasheet!W873,IF(Datasheet!W890+Datasheet!W897&gt;Datasheet!W885,Datasheet!W885,0))</f>
        <v>0</v>
      </c>
      <c r="X302" s="97">
        <f>SUM(Datasheet!X863,Datasheet!X873,IF(Datasheet!X890+Datasheet!X897&gt;Datasheet!X885,Datasheet!X885,0))</f>
        <v>74</v>
      </c>
      <c r="Y302" s="97">
        <f>SUM(Datasheet!Y863,Datasheet!Y873,IF(Datasheet!Y890+Datasheet!Y897&gt;Datasheet!Y885,Datasheet!Y885,0))</f>
        <v>78</v>
      </c>
      <c r="Z302" s="97">
        <f>SUM(Datasheet!Z863,Datasheet!Z873,IF(Datasheet!Z890+Datasheet!Z897&gt;Datasheet!Z885,Datasheet!Z885,0))</f>
        <v>162</v>
      </c>
      <c r="AA302" s="97">
        <f>SUM(Datasheet!AA863,Datasheet!AA873,IF(Datasheet!AA890+Datasheet!AA897&gt;Datasheet!AA885,Datasheet!AA885,0))</f>
        <v>67</v>
      </c>
      <c r="AB302" s="97">
        <f>SUM(Datasheet!AB863,Datasheet!AB873,IF(Datasheet!AB890+Datasheet!AB897&gt;Datasheet!AB885,Datasheet!AB885,0))</f>
        <v>0</v>
      </c>
      <c r="AC302" s="97">
        <f>SUM(Datasheet!AC863,Datasheet!AC873,IF(Datasheet!AC890+Datasheet!AC897&gt;Datasheet!AC885,Datasheet!AC885,0))</f>
        <v>0</v>
      </c>
      <c r="AD302" s="97">
        <f>SUM(Datasheet!AD863,Datasheet!AD873,IF(Datasheet!AD890+Datasheet!AD897&gt;Datasheet!AD885,Datasheet!AD885,0))</f>
        <v>0</v>
      </c>
      <c r="AE302" s="97">
        <f>SUM(Datasheet!AE863,Datasheet!AE873,IF(Datasheet!AE890+Datasheet!AE897&gt;Datasheet!AE885,Datasheet!AE885,0))</f>
        <v>0</v>
      </c>
      <c r="AF302" s="97">
        <f>SUM(Datasheet!AF863,Datasheet!AF873,IF(Datasheet!AF890+Datasheet!AF897&gt;Datasheet!AF885,Datasheet!AF885,0))</f>
        <v>0</v>
      </c>
      <c r="AG302" s="97">
        <f>SUM(Datasheet!AG863,Datasheet!AG873,IF(Datasheet!AG890+Datasheet!AG897&gt;Datasheet!AG885,Datasheet!AG885,0))</f>
        <v>0</v>
      </c>
      <c r="AH302" s="97">
        <f>SUM(Datasheet!AH863,Datasheet!AH873,IF(Datasheet!AH890+Datasheet!AH897&gt;Datasheet!AH885,Datasheet!AH885,0))</f>
        <v>0</v>
      </c>
      <c r="AI302" s="97">
        <f>SUM(Datasheet!AI863,Datasheet!AI873,IF(Datasheet!AI890+Datasheet!AI897&gt;Datasheet!AI885,Datasheet!AI885,0))</f>
        <v>0</v>
      </c>
      <c r="AJ302" s="97">
        <f>SUM(Datasheet!AJ863,Datasheet!AJ873,IF(Datasheet!AJ890+Datasheet!AJ897&gt;Datasheet!AJ885,Datasheet!AJ885,0))</f>
        <v>0</v>
      </c>
      <c r="AK302" s="97">
        <f>SUM(Datasheet!AK863,Datasheet!AK873,IF(Datasheet!AK890+Datasheet!AK897&gt;Datasheet!AK885,Datasheet!AK885,0))</f>
        <v>0</v>
      </c>
    </row>
    <row r="303" spans="2:37" s="9" customFormat="1" x14ac:dyDescent="0.25">
      <c r="B303" s="66"/>
      <c r="C303" s="51" t="s">
        <v>1304</v>
      </c>
      <c r="H303" s="9" t="s">
        <v>1015</v>
      </c>
      <c r="I303" s="97"/>
      <c r="J303" s="97"/>
      <c r="K303" s="97"/>
      <c r="L303" s="97"/>
      <c r="M303" s="97"/>
      <c r="N303" s="97"/>
      <c r="O303" s="97"/>
      <c r="P303" s="97"/>
      <c r="Q303" s="97"/>
      <c r="R303" s="97"/>
      <c r="S303" s="97"/>
      <c r="T303" s="97"/>
      <c r="U303" s="97"/>
      <c r="V303" s="97"/>
      <c r="W303" s="97">
        <f>SUM(Datasheet!W864,Datasheet!W874,Datasheet!W893-Datasheet!W887)</f>
        <v>188</v>
      </c>
      <c r="X303" s="97">
        <f>SUM(Datasheet!X864,Datasheet!X874,Datasheet!X893-Datasheet!X887)</f>
        <v>324</v>
      </c>
      <c r="Y303" s="97">
        <f>SUM(Datasheet!Y864,Datasheet!Y874,Datasheet!Y893-Datasheet!Y887)</f>
        <v>236</v>
      </c>
      <c r="Z303" s="97">
        <f>SUM(Datasheet!Z864,Datasheet!Z874,Datasheet!Z893-Datasheet!Z887)</f>
        <v>202</v>
      </c>
      <c r="AA303" s="97">
        <f>SUM(Datasheet!AA864,Datasheet!AA874,Datasheet!AA893-Datasheet!AA887)</f>
        <v>131</v>
      </c>
      <c r="AB303" s="97">
        <f>SUM(Datasheet!AB864,Datasheet!AB874,Datasheet!AB893-Datasheet!AB887)</f>
        <v>0</v>
      </c>
      <c r="AC303" s="97">
        <f>SUM(Datasheet!AC864,Datasheet!AC874,Datasheet!AC893-Datasheet!AC887)</f>
        <v>0</v>
      </c>
      <c r="AD303" s="97">
        <f>SUM(Datasheet!AD864,Datasheet!AD874,Datasheet!AD893-Datasheet!AD887)</f>
        <v>0</v>
      </c>
      <c r="AE303" s="97">
        <f>SUM(Datasheet!AE864,Datasheet!AE874,Datasheet!AE893-Datasheet!AE887)</f>
        <v>0</v>
      </c>
      <c r="AF303" s="97">
        <f>SUM(Datasheet!AF864,Datasheet!AF874,Datasheet!AF893-Datasheet!AF887)</f>
        <v>0</v>
      </c>
      <c r="AG303" s="97">
        <f>SUM(Datasheet!AG864,Datasheet!AG874,Datasheet!AG893-Datasheet!AG887)</f>
        <v>0</v>
      </c>
      <c r="AH303" s="97">
        <f>SUM(Datasheet!AH864,Datasheet!AH874,Datasheet!AH893-Datasheet!AH887)</f>
        <v>0</v>
      </c>
      <c r="AI303" s="97">
        <f>SUM(Datasheet!AI864,Datasheet!AI874,Datasheet!AI893-Datasheet!AI887)</f>
        <v>0</v>
      </c>
      <c r="AJ303" s="97">
        <f>SUM(Datasheet!AJ864,Datasheet!AJ874,Datasheet!AJ893-Datasheet!AJ887)</f>
        <v>0</v>
      </c>
      <c r="AK303" s="97">
        <f>SUM(Datasheet!AK864,Datasheet!AK874,Datasheet!AK893-Datasheet!AK887)</f>
        <v>0</v>
      </c>
    </row>
    <row r="304" spans="2:37" s="9" customFormat="1" x14ac:dyDescent="0.25">
      <c r="B304" s="66"/>
      <c r="C304" s="51" t="s">
        <v>1305</v>
      </c>
      <c r="H304" s="9" t="s">
        <v>1307</v>
      </c>
      <c r="I304" s="97"/>
      <c r="J304" s="97"/>
      <c r="K304" s="97"/>
      <c r="L304" s="97"/>
      <c r="M304" s="97"/>
      <c r="N304" s="97"/>
      <c r="O304" s="97"/>
      <c r="P304" s="97"/>
      <c r="Q304" s="97"/>
      <c r="R304" s="97"/>
      <c r="S304" s="97"/>
      <c r="T304" s="97"/>
      <c r="U304" s="97"/>
      <c r="V304" s="97"/>
      <c r="W304" s="86">
        <f>SUM(W300:W302)/SUM(W300:W303)</f>
        <v>0.49866666666666665</v>
      </c>
      <c r="X304" s="86">
        <f t="shared" ref="X304:AK304" si="24">SUM(X300:X302)/SUM(X300:X303)</f>
        <v>0.49532710280373832</v>
      </c>
      <c r="Y304" s="86">
        <f t="shared" si="24"/>
        <v>0.52515090543259557</v>
      </c>
      <c r="Z304" s="86">
        <f t="shared" si="24"/>
        <v>0.64310954063604242</v>
      </c>
      <c r="AA304" s="86">
        <f t="shared" si="24"/>
        <v>0.72068230277185497</v>
      </c>
      <c r="AB304" s="86" t="e">
        <f t="shared" si="24"/>
        <v>#DIV/0!</v>
      </c>
      <c r="AC304" s="86" t="e">
        <f t="shared" si="24"/>
        <v>#DIV/0!</v>
      </c>
      <c r="AD304" s="86" t="e">
        <f t="shared" si="24"/>
        <v>#DIV/0!</v>
      </c>
      <c r="AE304" s="86" t="e">
        <f t="shared" si="24"/>
        <v>#DIV/0!</v>
      </c>
      <c r="AF304" s="86" t="e">
        <f t="shared" si="24"/>
        <v>#DIV/0!</v>
      </c>
      <c r="AG304" s="86" t="e">
        <f t="shared" si="24"/>
        <v>#DIV/0!</v>
      </c>
      <c r="AH304" s="86" t="e">
        <f t="shared" si="24"/>
        <v>#DIV/0!</v>
      </c>
      <c r="AI304" s="86" t="e">
        <f t="shared" si="24"/>
        <v>#DIV/0!</v>
      </c>
      <c r="AJ304" s="86" t="e">
        <f t="shared" si="24"/>
        <v>#DIV/0!</v>
      </c>
      <c r="AK304" s="86" t="e">
        <f t="shared" si="24"/>
        <v>#DIV/0!</v>
      </c>
    </row>
    <row r="305" spans="1:37" s="93" customFormat="1" x14ac:dyDescent="0.25">
      <c r="B305" s="94"/>
      <c r="C305" s="95"/>
      <c r="I305" s="96"/>
      <c r="J305" s="96"/>
      <c r="K305" s="96"/>
      <c r="L305" s="96"/>
      <c r="M305" s="96"/>
      <c r="N305" s="96"/>
      <c r="O305" s="96"/>
      <c r="P305" s="96"/>
      <c r="Q305" s="96"/>
      <c r="R305" s="96"/>
      <c r="S305" s="96"/>
      <c r="T305" s="96"/>
      <c r="U305" s="96"/>
      <c r="V305" s="96"/>
      <c r="W305" s="96"/>
      <c r="X305" s="96"/>
      <c r="Y305" s="96"/>
      <c r="Z305" s="96"/>
      <c r="AA305" s="96"/>
      <c r="AB305" s="96"/>
      <c r="AC305" s="96"/>
      <c r="AD305" s="96"/>
      <c r="AE305" s="96"/>
      <c r="AF305" s="96"/>
      <c r="AG305" s="96"/>
      <c r="AH305" s="96"/>
      <c r="AI305" s="96"/>
      <c r="AJ305" s="96"/>
      <c r="AK305" s="96"/>
    </row>
    <row r="306" spans="1:37" s="82" customFormat="1" ht="17.25" x14ac:dyDescent="0.3">
      <c r="A306" s="82" t="s">
        <v>1094</v>
      </c>
    </row>
    <row r="307" spans="1:37" x14ac:dyDescent="0.25">
      <c r="B307" s="64" t="s">
        <v>33</v>
      </c>
      <c r="C307" t="s">
        <v>336</v>
      </c>
    </row>
    <row r="308" spans="1:37" x14ac:dyDescent="0.25">
      <c r="B308" s="64" t="s">
        <v>626</v>
      </c>
      <c r="C308" t="s">
        <v>1069</v>
      </c>
    </row>
    <row r="309" spans="1:37" x14ac:dyDescent="0.25">
      <c r="B309" s="64" t="s">
        <v>420</v>
      </c>
      <c r="C309" t="s">
        <v>1083</v>
      </c>
    </row>
    <row r="310" spans="1:37" x14ac:dyDescent="0.25">
      <c r="B310" s="64" t="s">
        <v>429</v>
      </c>
      <c r="C310" s="195" t="s">
        <v>1092</v>
      </c>
    </row>
    <row r="311" spans="1:37" x14ac:dyDescent="0.25">
      <c r="B311" s="64"/>
      <c r="C311" s="195" t="s">
        <v>22</v>
      </c>
    </row>
    <row r="312" spans="1:37" x14ac:dyDescent="0.25">
      <c r="B312" s="64"/>
      <c r="C312" s="195" t="s">
        <v>1145</v>
      </c>
    </row>
    <row r="313" spans="1:37" x14ac:dyDescent="0.25">
      <c r="B313" s="64" t="s">
        <v>421</v>
      </c>
      <c r="C313" t="s">
        <v>1084</v>
      </c>
    </row>
    <row r="314" spans="1:37" s="223" customFormat="1" x14ac:dyDescent="0.25">
      <c r="B314" s="64"/>
      <c r="D314" s="223" t="s">
        <v>1313</v>
      </c>
    </row>
    <row r="315" spans="1:37" x14ac:dyDescent="0.25">
      <c r="B315" s="64" t="s">
        <v>425</v>
      </c>
      <c r="C315" s="168" t="s">
        <v>1085</v>
      </c>
    </row>
    <row r="316" spans="1:37" x14ac:dyDescent="0.25">
      <c r="B316" s="64"/>
      <c r="C316" s="168" t="s">
        <v>1571</v>
      </c>
    </row>
    <row r="317" spans="1:37" x14ac:dyDescent="0.25">
      <c r="B317" s="64" t="s">
        <v>333</v>
      </c>
      <c r="C317" s="168" t="s">
        <v>1091</v>
      </c>
    </row>
    <row r="318" spans="1:37" x14ac:dyDescent="0.25">
      <c r="B318" s="64"/>
      <c r="C318" s="168" t="s">
        <v>1086</v>
      </c>
    </row>
    <row r="319" spans="1:37" x14ac:dyDescent="0.25">
      <c r="B319" s="64"/>
      <c r="C319" s="168"/>
    </row>
    <row r="320" spans="1:37" x14ac:dyDescent="0.25">
      <c r="B320" s="71" t="s">
        <v>334</v>
      </c>
      <c r="C320" s="168" t="s">
        <v>1572</v>
      </c>
    </row>
    <row r="321" spans="2:37" s="223" customFormat="1" x14ac:dyDescent="0.25">
      <c r="B321" s="71"/>
      <c r="C321" s="168" t="s">
        <v>1573</v>
      </c>
    </row>
    <row r="322" spans="2:37" x14ac:dyDescent="0.25">
      <c r="B322" s="71"/>
      <c r="C322" s="168" t="s">
        <v>1574</v>
      </c>
    </row>
    <row r="323" spans="2:37" s="83" customFormat="1" ht="15.75" thickBot="1" x14ac:dyDescent="0.3"/>
    <row r="324" spans="2:37" s="9" customFormat="1" ht="15.75" thickTop="1" x14ac:dyDescent="0.25">
      <c r="B324" s="66"/>
      <c r="C324" s="51"/>
      <c r="I324" s="85"/>
      <c r="J324" s="85"/>
      <c r="K324" s="85"/>
      <c r="L324" s="85"/>
      <c r="M324" s="85"/>
      <c r="N324" s="85"/>
      <c r="O324" s="85"/>
      <c r="P324" s="85"/>
      <c r="Q324" s="85"/>
      <c r="R324" s="85"/>
      <c r="S324" s="85"/>
      <c r="T324" s="85"/>
      <c r="U324" s="85"/>
      <c r="V324" s="85"/>
      <c r="W324" s="85"/>
      <c r="X324" s="85"/>
      <c r="Y324" s="85"/>
      <c r="Z324" s="85"/>
      <c r="AA324" s="85"/>
      <c r="AB324" s="85"/>
      <c r="AC324" s="85"/>
      <c r="AD324" s="85"/>
      <c r="AE324" s="85"/>
      <c r="AF324" s="85"/>
      <c r="AG324" s="85"/>
      <c r="AH324" s="85"/>
      <c r="AI324" s="85"/>
      <c r="AJ324" s="85"/>
      <c r="AK324" s="85"/>
    </row>
    <row r="325" spans="2:37" s="9" customFormat="1" x14ac:dyDescent="0.25">
      <c r="B325" s="66"/>
      <c r="C325" s="51"/>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c r="AG325" s="85"/>
      <c r="AH325" s="85"/>
      <c r="AI325" s="85"/>
      <c r="AJ325" s="85"/>
      <c r="AK325" s="85"/>
    </row>
    <row r="326" spans="2:37" s="9" customFormat="1" x14ac:dyDescent="0.25">
      <c r="B326" s="66"/>
      <c r="C326" s="51"/>
      <c r="I326" s="85"/>
      <c r="J326" s="85"/>
      <c r="K326" s="85"/>
      <c r="L326" s="85"/>
      <c r="M326" s="85"/>
      <c r="N326" s="85"/>
      <c r="O326" s="85"/>
      <c r="P326" s="85"/>
      <c r="Q326" s="85"/>
      <c r="R326" s="85"/>
      <c r="S326" s="85"/>
      <c r="T326" s="85"/>
      <c r="U326" s="85"/>
      <c r="V326" s="85"/>
      <c r="W326" s="85"/>
      <c r="X326" s="85"/>
      <c r="Y326" s="85"/>
      <c r="Z326" s="85"/>
      <c r="AA326" s="85"/>
      <c r="AB326" s="85"/>
      <c r="AC326" s="85"/>
      <c r="AD326" s="85"/>
      <c r="AE326" s="85"/>
      <c r="AF326" s="85"/>
      <c r="AG326" s="85"/>
      <c r="AH326" s="85"/>
      <c r="AI326" s="85"/>
      <c r="AJ326" s="85"/>
      <c r="AK326" s="85"/>
    </row>
    <row r="327" spans="2:37" s="9" customFormat="1" x14ac:dyDescent="0.25">
      <c r="B327" s="66"/>
      <c r="C327" s="51"/>
      <c r="I327" s="85"/>
      <c r="J327" s="85"/>
      <c r="K327" s="85"/>
      <c r="L327" s="85"/>
      <c r="M327" s="85"/>
      <c r="N327" s="85"/>
      <c r="O327" s="85"/>
      <c r="P327" s="85"/>
      <c r="Q327" s="85"/>
      <c r="R327" s="85"/>
      <c r="S327" s="85"/>
      <c r="T327" s="85"/>
      <c r="U327" s="85"/>
      <c r="V327" s="85"/>
      <c r="W327" s="85"/>
      <c r="X327" s="85"/>
      <c r="Y327" s="85"/>
      <c r="Z327" s="85"/>
      <c r="AA327" s="85"/>
      <c r="AB327" s="85"/>
      <c r="AC327" s="85"/>
      <c r="AD327" s="85"/>
      <c r="AE327" s="85"/>
      <c r="AF327" s="85"/>
      <c r="AG327" s="85"/>
      <c r="AH327" s="85"/>
      <c r="AI327" s="85"/>
      <c r="AJ327" s="85"/>
      <c r="AK327" s="85"/>
    </row>
    <row r="328" spans="2:37" s="9" customFormat="1" x14ac:dyDescent="0.25">
      <c r="B328" s="66"/>
      <c r="C328" s="51"/>
      <c r="I328" s="85"/>
      <c r="J328" s="85"/>
      <c r="K328" s="85"/>
      <c r="L328" s="85"/>
      <c r="M328" s="85"/>
      <c r="N328" s="85"/>
      <c r="O328" s="85"/>
      <c r="P328" s="85"/>
      <c r="Q328" s="85"/>
      <c r="R328" s="85"/>
      <c r="S328" s="85"/>
      <c r="T328" s="85"/>
      <c r="U328" s="85"/>
      <c r="V328" s="85"/>
      <c r="W328" s="85"/>
      <c r="X328" s="85"/>
      <c r="Y328" s="85"/>
      <c r="Z328" s="85"/>
      <c r="AA328" s="85"/>
      <c r="AB328" s="85"/>
      <c r="AC328" s="85"/>
      <c r="AD328" s="85"/>
      <c r="AE328" s="85"/>
      <c r="AF328" s="85"/>
      <c r="AG328" s="85"/>
      <c r="AH328" s="85"/>
      <c r="AI328" s="85"/>
      <c r="AJ328" s="85"/>
      <c r="AK328" s="85"/>
    </row>
    <row r="329" spans="2:37" s="9" customFormat="1" x14ac:dyDescent="0.25">
      <c r="B329" s="66"/>
      <c r="C329" s="51"/>
      <c r="I329" s="85"/>
      <c r="J329" s="85"/>
      <c r="K329" s="85"/>
      <c r="L329" s="85"/>
      <c r="M329" s="85"/>
      <c r="N329" s="85"/>
      <c r="O329" s="85"/>
      <c r="P329" s="85"/>
      <c r="Q329" s="85"/>
      <c r="R329" s="85"/>
      <c r="S329" s="85"/>
      <c r="T329" s="85"/>
      <c r="U329" s="85"/>
      <c r="V329" s="85"/>
      <c r="W329" s="85"/>
      <c r="X329" s="85"/>
      <c r="Y329" s="85"/>
      <c r="Z329" s="85"/>
      <c r="AA329" s="85"/>
      <c r="AB329" s="85"/>
      <c r="AC329" s="85"/>
      <c r="AD329" s="85"/>
      <c r="AE329" s="85"/>
      <c r="AF329" s="85"/>
      <c r="AG329" s="85"/>
      <c r="AH329" s="85"/>
      <c r="AI329" s="85"/>
      <c r="AJ329" s="85"/>
      <c r="AK329" s="85"/>
    </row>
    <row r="330" spans="2:37" s="9" customFormat="1" x14ac:dyDescent="0.25">
      <c r="B330" s="66"/>
      <c r="C330" s="51"/>
      <c r="I330" s="85"/>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c r="AG330" s="85"/>
      <c r="AH330" s="85"/>
      <c r="AI330" s="85"/>
      <c r="AJ330" s="85"/>
      <c r="AK330" s="85"/>
    </row>
    <row r="331" spans="2:37" s="9" customFormat="1" x14ac:dyDescent="0.25">
      <c r="B331" s="66"/>
      <c r="C331" s="51"/>
      <c r="I331" s="85"/>
      <c r="J331" s="85"/>
      <c r="K331" s="85"/>
      <c r="L331" s="85"/>
      <c r="M331" s="85"/>
      <c r="N331" s="85"/>
      <c r="O331" s="85"/>
      <c r="P331" s="85"/>
      <c r="Q331" s="85"/>
      <c r="R331" s="85"/>
      <c r="S331" s="85"/>
      <c r="T331" s="85"/>
      <c r="U331" s="85"/>
      <c r="V331" s="85"/>
      <c r="W331" s="85"/>
      <c r="X331" s="85"/>
      <c r="Y331" s="85"/>
      <c r="Z331" s="85"/>
      <c r="AA331" s="85"/>
      <c r="AB331" s="85"/>
      <c r="AC331" s="85"/>
      <c r="AD331" s="85"/>
      <c r="AE331" s="85"/>
      <c r="AF331" s="85"/>
      <c r="AG331" s="85"/>
      <c r="AH331" s="85"/>
      <c r="AI331" s="85"/>
      <c r="AJ331" s="85"/>
      <c r="AK331" s="85"/>
    </row>
    <row r="332" spans="2:37" s="9" customFormat="1" x14ac:dyDescent="0.25">
      <c r="B332" s="66"/>
      <c r="C332" s="51"/>
      <c r="I332" s="85"/>
      <c r="J332" s="85"/>
      <c r="K332" s="85"/>
      <c r="L332" s="85"/>
      <c r="M332" s="85"/>
      <c r="N332" s="85"/>
      <c r="O332" s="85"/>
      <c r="P332" s="85"/>
      <c r="Q332" s="85"/>
      <c r="R332" s="85"/>
      <c r="S332" s="85"/>
      <c r="T332" s="85"/>
      <c r="U332" s="85"/>
      <c r="V332" s="85"/>
      <c r="W332" s="85"/>
      <c r="X332" s="85"/>
      <c r="Y332" s="85"/>
      <c r="Z332" s="85"/>
      <c r="AA332" s="85"/>
      <c r="AB332" s="85"/>
      <c r="AC332" s="85"/>
      <c r="AD332" s="85"/>
      <c r="AE332" s="85"/>
      <c r="AF332" s="85"/>
      <c r="AG332" s="85"/>
      <c r="AH332" s="85"/>
      <c r="AI332" s="85"/>
      <c r="AJ332" s="85"/>
      <c r="AK332" s="85"/>
    </row>
    <row r="333" spans="2:37" s="9" customFormat="1" x14ac:dyDescent="0.25">
      <c r="B333" s="66"/>
      <c r="C333" s="51"/>
      <c r="I333" s="85"/>
      <c r="J333" s="85"/>
      <c r="K333" s="85"/>
      <c r="L333" s="85"/>
      <c r="M333" s="85"/>
      <c r="N333" s="85"/>
      <c r="O333" s="85"/>
      <c r="P333" s="85"/>
      <c r="Q333" s="85"/>
      <c r="R333" s="85"/>
      <c r="S333" s="85"/>
      <c r="T333" s="85"/>
      <c r="U333" s="85"/>
      <c r="V333" s="85"/>
      <c r="W333" s="85"/>
      <c r="X333" s="85"/>
      <c r="Y333" s="85"/>
      <c r="Z333" s="85"/>
      <c r="AA333" s="85"/>
      <c r="AB333" s="85"/>
      <c r="AC333" s="85"/>
      <c r="AD333" s="85"/>
      <c r="AE333" s="85"/>
      <c r="AF333" s="85"/>
      <c r="AG333" s="85"/>
      <c r="AH333" s="85"/>
      <c r="AI333" s="85"/>
      <c r="AJ333" s="85"/>
      <c r="AK333" s="85"/>
    </row>
    <row r="334" spans="2:37" s="9" customFormat="1" x14ac:dyDescent="0.25">
      <c r="B334" s="66"/>
      <c r="C334" s="51"/>
      <c r="I334" s="85"/>
      <c r="J334" s="85"/>
      <c r="K334" s="85"/>
      <c r="L334" s="85"/>
      <c r="M334" s="85"/>
      <c r="N334" s="85"/>
      <c r="O334" s="85"/>
      <c r="P334" s="85"/>
      <c r="Q334" s="85"/>
      <c r="R334" s="85"/>
      <c r="S334" s="85"/>
      <c r="T334" s="85"/>
      <c r="U334" s="85"/>
      <c r="V334" s="85"/>
      <c r="W334" s="85"/>
      <c r="X334" s="85"/>
      <c r="Y334" s="85"/>
      <c r="Z334" s="85"/>
      <c r="AA334" s="85"/>
      <c r="AB334" s="85"/>
      <c r="AC334" s="85"/>
      <c r="AD334" s="85"/>
      <c r="AE334" s="85"/>
      <c r="AF334" s="85"/>
      <c r="AG334" s="85"/>
      <c r="AH334" s="85"/>
      <c r="AI334" s="85"/>
      <c r="AJ334" s="85"/>
      <c r="AK334" s="85"/>
    </row>
    <row r="335" spans="2:37" s="9" customFormat="1" x14ac:dyDescent="0.25">
      <c r="B335" s="66"/>
      <c r="C335" s="51"/>
      <c r="I335" s="85"/>
      <c r="J335" s="85"/>
      <c r="K335" s="85"/>
      <c r="L335" s="85"/>
      <c r="M335" s="85"/>
      <c r="N335" s="85"/>
      <c r="O335" s="85"/>
      <c r="P335" s="85"/>
      <c r="Q335" s="85"/>
      <c r="R335" s="85"/>
      <c r="S335" s="85"/>
      <c r="T335" s="85"/>
      <c r="U335" s="85"/>
      <c r="V335" s="85"/>
      <c r="W335" s="85"/>
      <c r="X335" s="85"/>
      <c r="Y335" s="85"/>
      <c r="Z335" s="85"/>
      <c r="AA335" s="85"/>
      <c r="AB335" s="85"/>
      <c r="AC335" s="85"/>
      <c r="AD335" s="85"/>
      <c r="AE335" s="85"/>
      <c r="AF335" s="85"/>
      <c r="AG335" s="85"/>
      <c r="AH335" s="85"/>
      <c r="AI335" s="85"/>
      <c r="AJ335" s="85"/>
      <c r="AK335" s="85"/>
    </row>
    <row r="336" spans="2:37" s="9" customFormat="1" x14ac:dyDescent="0.25">
      <c r="B336" s="66"/>
      <c r="C336" s="51"/>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c r="AG336" s="85"/>
      <c r="AH336" s="85"/>
      <c r="AI336" s="85"/>
      <c r="AJ336" s="85"/>
      <c r="AK336" s="85"/>
    </row>
    <row r="337" spans="1:37" s="9" customFormat="1" x14ac:dyDescent="0.25">
      <c r="B337" s="66"/>
      <c r="C337" s="51"/>
      <c r="I337" s="85"/>
      <c r="J337" s="85"/>
      <c r="K337" s="85"/>
      <c r="L337" s="85"/>
      <c r="M337" s="85"/>
      <c r="N337" s="85"/>
      <c r="O337" s="85"/>
      <c r="P337" s="85"/>
      <c r="Q337" s="85"/>
      <c r="R337" s="85"/>
      <c r="S337" s="85"/>
      <c r="T337" s="85"/>
      <c r="U337" s="85"/>
      <c r="V337" s="85"/>
      <c r="W337" s="85"/>
      <c r="X337" s="85"/>
      <c r="Y337" s="85"/>
      <c r="Z337" s="85"/>
      <c r="AA337" s="85"/>
      <c r="AB337" s="85"/>
      <c r="AC337" s="85"/>
      <c r="AD337" s="85"/>
      <c r="AE337" s="85"/>
      <c r="AF337" s="85"/>
      <c r="AG337" s="85"/>
      <c r="AH337" s="85"/>
      <c r="AI337" s="85"/>
      <c r="AJ337" s="85"/>
      <c r="AK337" s="85"/>
    </row>
    <row r="338" spans="1:37" s="9" customFormat="1" x14ac:dyDescent="0.25">
      <c r="B338" s="66"/>
      <c r="C338" s="51"/>
      <c r="I338" s="85"/>
      <c r="J338" s="85"/>
      <c r="K338" s="85"/>
      <c r="L338" s="85"/>
      <c r="M338" s="85"/>
      <c r="N338" s="85"/>
      <c r="O338" s="85"/>
      <c r="P338" s="85"/>
      <c r="Q338" s="85"/>
      <c r="R338" s="85"/>
      <c r="S338" s="85"/>
      <c r="T338" s="85"/>
      <c r="U338" s="85"/>
      <c r="V338" s="85"/>
      <c r="W338" s="85"/>
      <c r="X338" s="85"/>
      <c r="Y338" s="85"/>
      <c r="Z338" s="85"/>
      <c r="AA338" s="85"/>
      <c r="AB338" s="85"/>
      <c r="AC338" s="85"/>
      <c r="AD338" s="85"/>
      <c r="AE338" s="85"/>
      <c r="AF338" s="85"/>
      <c r="AG338" s="85"/>
      <c r="AH338" s="85"/>
      <c r="AI338" s="85"/>
      <c r="AJ338" s="85"/>
      <c r="AK338" s="85"/>
    </row>
    <row r="339" spans="1:37" s="9" customFormat="1" x14ac:dyDescent="0.25">
      <c r="B339" s="66" t="s">
        <v>34</v>
      </c>
      <c r="C339" s="9" t="s">
        <v>1090</v>
      </c>
      <c r="H339" s="9" t="s">
        <v>801</v>
      </c>
      <c r="I339" s="138">
        <f>Datasheet!I491/SUM(Datasheet!I470,Datasheet!I449)</f>
        <v>0.73057671381936884</v>
      </c>
      <c r="J339" s="138">
        <f>Datasheet!J491/SUM(Datasheet!J470,Datasheet!J449)</f>
        <v>0.72231567143257636</v>
      </c>
      <c r="K339" s="138">
        <f>Datasheet!K491/SUM(Datasheet!K470,Datasheet!K449)</f>
        <v>0.73826516607191872</v>
      </c>
      <c r="L339" s="138">
        <f>Datasheet!L491/SUM(Datasheet!L470,Datasheet!L449)</f>
        <v>0.73426527096859684</v>
      </c>
      <c r="M339" s="138">
        <f>Datasheet!M491/SUM(Datasheet!M470,Datasheet!M449)</f>
        <v>0.73431758107149769</v>
      </c>
      <c r="N339" s="138">
        <f>Datasheet!N491/SUM(Datasheet!N470,Datasheet!N449)</f>
        <v>0.70436187399030692</v>
      </c>
      <c r="O339" s="138">
        <f>Datasheet!O491/SUM(Datasheet!O470,Datasheet!O449)</f>
        <v>0.68617737003058099</v>
      </c>
      <c r="P339" s="138">
        <f>Datasheet!P491/SUM(Datasheet!P470,Datasheet!P449)</f>
        <v>0.64659135688953107</v>
      </c>
      <c r="Q339" s="138">
        <f>Datasheet!Q491/SUM(Datasheet!Q470,Datasheet!Q449)</f>
        <v>0.7266617380200282</v>
      </c>
      <c r="R339" s="138">
        <f>Datasheet!R491/SUM(Datasheet!R470,Datasheet!R449)</f>
        <v>0.6753360215053763</v>
      </c>
      <c r="S339" s="138">
        <f>Datasheet!S491/SUM(Datasheet!S470,Datasheet!S449)</f>
        <v>0.60095802009181021</v>
      </c>
      <c r="T339" s="138">
        <f>Datasheet!T491/SUM(Datasheet!T470,Datasheet!T449)</f>
        <v>0.59251905463395893</v>
      </c>
      <c r="U339" s="138">
        <f>Datasheet!U491/SUM(Datasheet!U470,Datasheet!U449)</f>
        <v>0.59621848739495797</v>
      </c>
      <c r="V339" s="138">
        <f>Datasheet!V491/SUM(Datasheet!V470,Datasheet!V449)</f>
        <v>0.6023552847433794</v>
      </c>
      <c r="W339" s="138">
        <f>Datasheet!W491/SUM(Datasheet!W470,Datasheet!W449)</f>
        <v>0.61090465683428175</v>
      </c>
      <c r="X339" s="138">
        <f>Datasheet!X491/SUM(Datasheet!X470,Datasheet!X449)</f>
        <v>0.60778990525790899</v>
      </c>
      <c r="Y339" s="138">
        <f>Datasheet!Y491/SUM(Datasheet!Y470,Datasheet!Y449)</f>
        <v>0.59928922908693272</v>
      </c>
      <c r="Z339" s="138" t="e">
        <f>Datasheet!Z491/SUM(Datasheet!Z470,Datasheet!Z449)</f>
        <v>#DIV/0!</v>
      </c>
      <c r="AA339" s="138" t="e">
        <f>Datasheet!AA491/SUM(Datasheet!AA470,Datasheet!AA449)</f>
        <v>#DIV/0!</v>
      </c>
      <c r="AB339" s="138" t="e">
        <f>Datasheet!AB491/SUM(Datasheet!AB470,Datasheet!AB449)</f>
        <v>#DIV/0!</v>
      </c>
      <c r="AC339" s="138" t="e">
        <f>Datasheet!AC491/SUM(Datasheet!AC470,Datasheet!AC449)</f>
        <v>#DIV/0!</v>
      </c>
      <c r="AD339" s="138" t="e">
        <f>Datasheet!AD491/SUM(Datasheet!AD470,Datasheet!AD449)</f>
        <v>#DIV/0!</v>
      </c>
      <c r="AE339" s="138" t="e">
        <f>Datasheet!AE491/SUM(Datasheet!AE470,Datasheet!AE449)</f>
        <v>#DIV/0!</v>
      </c>
      <c r="AF339" s="138" t="e">
        <f>Datasheet!AF491/SUM(Datasheet!AF470,Datasheet!AF449)</f>
        <v>#DIV/0!</v>
      </c>
      <c r="AG339" s="138" t="e">
        <f>Datasheet!AG491/SUM(Datasheet!AG470,Datasheet!AG449)</f>
        <v>#DIV/0!</v>
      </c>
      <c r="AH339" s="138" t="e">
        <f>Datasheet!AH491/SUM(Datasheet!AH470,Datasheet!AH449)</f>
        <v>#DIV/0!</v>
      </c>
      <c r="AI339" s="138" t="e">
        <f>Datasheet!AI491/SUM(Datasheet!AI470,Datasheet!AI449)</f>
        <v>#DIV/0!</v>
      </c>
      <c r="AJ339" s="138" t="e">
        <f>Datasheet!AJ491/SUM(Datasheet!AJ470,Datasheet!AJ449)</f>
        <v>#DIV/0!</v>
      </c>
      <c r="AK339" s="138" t="e">
        <f>Datasheet!AK491/SUM(Datasheet!AK470,Datasheet!AK449)</f>
        <v>#DIV/0!</v>
      </c>
    </row>
    <row r="340" spans="1:37" s="9" customFormat="1" x14ac:dyDescent="0.25">
      <c r="B340" s="66"/>
      <c r="C340" s="51" t="s">
        <v>1082</v>
      </c>
      <c r="H340" s="9" t="s">
        <v>1015</v>
      </c>
      <c r="I340" s="138">
        <f t="shared" ref="I340:P340" si="25">I341/I342</f>
        <v>0.46202919887130411</v>
      </c>
      <c r="J340" s="138">
        <f t="shared" si="25"/>
        <v>0.46126169345166707</v>
      </c>
      <c r="K340" s="138">
        <f t="shared" si="25"/>
        <v>0.46414135581475924</v>
      </c>
      <c r="L340" s="138">
        <f t="shared" si="25"/>
        <v>0.4639818491208168</v>
      </c>
      <c r="M340" s="138">
        <f t="shared" si="25"/>
        <v>0.46571869488536155</v>
      </c>
      <c r="N340" s="138">
        <f t="shared" si="25"/>
        <v>0.46352024247672657</v>
      </c>
      <c r="O340" s="138">
        <f t="shared" si="25"/>
        <v>0.46134212485377007</v>
      </c>
      <c r="P340" s="138">
        <f t="shared" si="25"/>
        <v>0.45941151919866446</v>
      </c>
      <c r="Q340" s="138">
        <f>Q341/Q342</f>
        <v>0.45560795571047774</v>
      </c>
      <c r="R340" s="138">
        <f t="shared" ref="R340:AK340" si="26">R341/R342</f>
        <v>0.45418448381185095</v>
      </c>
      <c r="S340" s="138">
        <f t="shared" si="26"/>
        <v>0.45403984224896349</v>
      </c>
      <c r="T340" s="138">
        <f t="shared" si="26"/>
        <v>0.452572347266881</v>
      </c>
      <c r="U340" s="138">
        <f t="shared" si="26"/>
        <v>0.45337045138198451</v>
      </c>
      <c r="V340" s="138">
        <f t="shared" si="26"/>
        <v>0.45203730976926854</v>
      </c>
      <c r="W340" s="138">
        <f t="shared" si="26"/>
        <v>0.45221942236867613</v>
      </c>
      <c r="X340" s="138">
        <f t="shared" si="26"/>
        <v>0.44992340099578704</v>
      </c>
      <c r="Y340" s="138">
        <f t="shared" si="26"/>
        <v>0.44921396968841193</v>
      </c>
      <c r="Z340" s="138">
        <f t="shared" si="26"/>
        <v>0.45189558158841436</v>
      </c>
      <c r="AA340" s="138">
        <f t="shared" si="26"/>
        <v>0.45629576064358673</v>
      </c>
      <c r="AB340" s="138">
        <f t="shared" si="26"/>
        <v>0.45629576064358673</v>
      </c>
      <c r="AC340" s="138">
        <f t="shared" si="26"/>
        <v>0.45629576064358673</v>
      </c>
      <c r="AD340" s="138">
        <f t="shared" si="26"/>
        <v>0.45629576064358673</v>
      </c>
      <c r="AE340" s="138">
        <f t="shared" si="26"/>
        <v>0.45629576064358673</v>
      </c>
      <c r="AF340" s="138">
        <f t="shared" si="26"/>
        <v>0.45629576064358673</v>
      </c>
      <c r="AG340" s="138">
        <f t="shared" si="26"/>
        <v>0.45629576064358673</v>
      </c>
      <c r="AH340" s="138">
        <f t="shared" si="26"/>
        <v>0.45629576064358673</v>
      </c>
      <c r="AI340" s="138">
        <f t="shared" si="26"/>
        <v>0.45629576064358673</v>
      </c>
      <c r="AJ340" s="138">
        <f t="shared" si="26"/>
        <v>0.45629576064358673</v>
      </c>
      <c r="AK340" s="138">
        <f t="shared" si="26"/>
        <v>0.45629576064358673</v>
      </c>
    </row>
    <row r="341" spans="1:37" s="9" customFormat="1" x14ac:dyDescent="0.25">
      <c r="B341" s="66"/>
      <c r="C341" s="51"/>
      <c r="D341" s="9" t="s">
        <v>1070</v>
      </c>
      <c r="H341" s="9" t="s">
        <v>1015</v>
      </c>
      <c r="I341" s="97">
        <f>Datasheet!I188</f>
        <v>3766</v>
      </c>
      <c r="J341" s="97">
        <f>Datasheet!J188</f>
        <v>3846</v>
      </c>
      <c r="K341" s="97">
        <f>Datasheet!K188</f>
        <v>4019</v>
      </c>
      <c r="L341" s="97">
        <f>Datasheet!L188</f>
        <v>4090</v>
      </c>
      <c r="M341" s="97">
        <f>Datasheet!M188</f>
        <v>4225</v>
      </c>
      <c r="N341" s="97">
        <f>Datasheet!N188</f>
        <v>4282</v>
      </c>
      <c r="O341" s="97">
        <f>Datasheet!O188</f>
        <v>4338</v>
      </c>
      <c r="P341" s="97">
        <f>Datasheet!P188</f>
        <v>4403</v>
      </c>
      <c r="Q341" s="97">
        <f>Datasheet!Q188</f>
        <v>4444</v>
      </c>
      <c r="R341" s="97">
        <f>Datasheet!R188</f>
        <v>4461</v>
      </c>
      <c r="S341" s="97">
        <f>Datasheet!S188</f>
        <v>4490</v>
      </c>
      <c r="T341" s="97">
        <f>Datasheet!T188</f>
        <v>4504</v>
      </c>
      <c r="U341" s="97">
        <f>Datasheet!U188</f>
        <v>4560</v>
      </c>
      <c r="V341" s="97">
        <f>Datasheet!V188</f>
        <v>4604</v>
      </c>
      <c r="W341" s="97">
        <f>Datasheet!W188</f>
        <v>4666</v>
      </c>
      <c r="X341" s="97">
        <f>Datasheet!X188</f>
        <v>4699</v>
      </c>
      <c r="Y341" s="97">
        <f>Datasheet!Y188</f>
        <v>4772</v>
      </c>
      <c r="Z341" s="97">
        <f>Datasheet!Z188</f>
        <v>4899</v>
      </c>
      <c r="AA341" s="97">
        <f>Datasheet!AA188</f>
        <v>5048</v>
      </c>
      <c r="AB341" s="97">
        <f>Datasheet!AB188</f>
        <v>5048</v>
      </c>
      <c r="AC341" s="97">
        <f>Datasheet!AC188</f>
        <v>5048</v>
      </c>
      <c r="AD341" s="97">
        <f>Datasheet!AD188</f>
        <v>5048</v>
      </c>
      <c r="AE341" s="97">
        <f>Datasheet!AE188</f>
        <v>5048</v>
      </c>
      <c r="AF341" s="97">
        <f>Datasheet!AF188</f>
        <v>5048</v>
      </c>
      <c r="AG341" s="97">
        <f>Datasheet!AG188</f>
        <v>5048</v>
      </c>
      <c r="AH341" s="97">
        <f>Datasheet!AH188</f>
        <v>5048</v>
      </c>
      <c r="AI341" s="97">
        <f>Datasheet!AI188</f>
        <v>5048</v>
      </c>
      <c r="AJ341" s="97">
        <f>Datasheet!AJ188</f>
        <v>5048</v>
      </c>
      <c r="AK341" s="97">
        <f>Datasheet!AK188</f>
        <v>5048</v>
      </c>
    </row>
    <row r="342" spans="1:37" s="9" customFormat="1" x14ac:dyDescent="0.25">
      <c r="B342" s="66"/>
      <c r="C342" s="51"/>
      <c r="D342" s="9" t="s">
        <v>1</v>
      </c>
      <c r="H342" s="9" t="s">
        <v>1015</v>
      </c>
      <c r="I342" s="97">
        <f>Datasheet!I186</f>
        <v>8151</v>
      </c>
      <c r="J342" s="97">
        <f>Datasheet!J186</f>
        <v>8338</v>
      </c>
      <c r="K342" s="97">
        <f>Datasheet!K186</f>
        <v>8659</v>
      </c>
      <c r="L342" s="97">
        <f>Datasheet!L186</f>
        <v>8815</v>
      </c>
      <c r="M342" s="97">
        <f>Datasheet!M186</f>
        <v>9072</v>
      </c>
      <c r="N342" s="97">
        <f>Datasheet!N186</f>
        <v>9238</v>
      </c>
      <c r="O342" s="97">
        <f>Datasheet!O186</f>
        <v>9403</v>
      </c>
      <c r="P342" s="97">
        <f>Datasheet!P186</f>
        <v>9584</v>
      </c>
      <c r="Q342" s="97">
        <f>Datasheet!Q186</f>
        <v>9754</v>
      </c>
      <c r="R342" s="97">
        <f>Datasheet!R186</f>
        <v>9822</v>
      </c>
      <c r="S342" s="97">
        <f>Datasheet!S186</f>
        <v>9889</v>
      </c>
      <c r="T342" s="97">
        <f>Datasheet!T186</f>
        <v>9952</v>
      </c>
      <c r="U342" s="97">
        <f>Datasheet!U186</f>
        <v>10058</v>
      </c>
      <c r="V342" s="97">
        <f>Datasheet!V186</f>
        <v>10185</v>
      </c>
      <c r="W342" s="97">
        <f>Datasheet!W186</f>
        <v>10318</v>
      </c>
      <c r="X342" s="97">
        <f>Datasheet!X186</f>
        <v>10444</v>
      </c>
      <c r="Y342" s="97">
        <f>Datasheet!Y186</f>
        <v>10623</v>
      </c>
      <c r="Z342" s="97">
        <f>Datasheet!Z186</f>
        <v>10841</v>
      </c>
      <c r="AA342" s="97">
        <f>Datasheet!AA186</f>
        <v>11063</v>
      </c>
      <c r="AB342" s="97">
        <f>Datasheet!AB186</f>
        <v>11063</v>
      </c>
      <c r="AC342" s="97">
        <f>Datasheet!AC186</f>
        <v>11063</v>
      </c>
      <c r="AD342" s="97">
        <f>Datasheet!AD186</f>
        <v>11063</v>
      </c>
      <c r="AE342" s="97">
        <f>Datasheet!AE186</f>
        <v>11063</v>
      </c>
      <c r="AF342" s="97">
        <f>Datasheet!AF186</f>
        <v>11063</v>
      </c>
      <c r="AG342" s="97">
        <f>Datasheet!AG186</f>
        <v>11063</v>
      </c>
      <c r="AH342" s="97">
        <f>Datasheet!AH186</f>
        <v>11063</v>
      </c>
      <c r="AI342" s="97">
        <f>Datasheet!AI186</f>
        <v>11063</v>
      </c>
      <c r="AJ342" s="97">
        <f>Datasheet!AJ186</f>
        <v>11063</v>
      </c>
      <c r="AK342" s="97">
        <f>Datasheet!AK186</f>
        <v>11063</v>
      </c>
    </row>
    <row r="343" spans="1:37" s="9" customFormat="1" x14ac:dyDescent="0.25">
      <c r="B343" s="66"/>
      <c r="E343" s="129" t="s">
        <v>1087</v>
      </c>
      <c r="F343" s="109"/>
      <c r="G343" s="109"/>
      <c r="H343" s="109" t="s">
        <v>1307</v>
      </c>
      <c r="I343" s="184" t="e">
        <f>Datasheet!I631/(Datasheet!I629+Datasheet!I630)</f>
        <v>#DIV/0!</v>
      </c>
      <c r="J343" s="184" t="e">
        <f>Datasheet!J631/(Datasheet!J629+Datasheet!J630)</f>
        <v>#DIV/0!</v>
      </c>
      <c r="K343" s="184" t="e">
        <f>Datasheet!K631/(Datasheet!K629+Datasheet!K630)</f>
        <v>#DIV/0!</v>
      </c>
      <c r="L343" s="184" t="e">
        <f>Datasheet!L631/(Datasheet!L629+Datasheet!L630)</f>
        <v>#DIV/0!</v>
      </c>
      <c r="M343" s="184" t="e">
        <f>Datasheet!M631/(Datasheet!M629+Datasheet!M630)</f>
        <v>#DIV/0!</v>
      </c>
      <c r="N343" s="184" t="e">
        <f>Datasheet!N631/(Datasheet!N629+Datasheet!N630)</f>
        <v>#DIV/0!</v>
      </c>
      <c r="O343" s="184" t="e">
        <f>Datasheet!O631/(Datasheet!O629+Datasheet!O630)</f>
        <v>#DIV/0!</v>
      </c>
      <c r="P343" s="184" t="e">
        <f>Datasheet!P631/(Datasheet!P629+Datasheet!P630)</f>
        <v>#DIV/0!</v>
      </c>
      <c r="Q343" s="184">
        <f>Datasheet!Q631/(Datasheet!Q629+Datasheet!Q630)</f>
        <v>0.42754116206286569</v>
      </c>
      <c r="R343" s="184">
        <f>Datasheet!R631/(Datasheet!R629+Datasheet!R630)</f>
        <v>0.46128087065717871</v>
      </c>
      <c r="S343" s="184">
        <f>Datasheet!S631/(Datasheet!S629+Datasheet!S630)</f>
        <v>0.45601534667032062</v>
      </c>
      <c r="T343" s="184">
        <f>Datasheet!T631/(Datasheet!T629+Datasheet!T630)</f>
        <v>0.42951338520374521</v>
      </c>
      <c r="U343" s="184">
        <f>Datasheet!U631/(Datasheet!U629+Datasheet!U630)</f>
        <v>0.42271052965832595</v>
      </c>
      <c r="V343" s="184">
        <f>Datasheet!V631/(Datasheet!V629+Datasheet!V630)</f>
        <v>0.41846830340784169</v>
      </c>
      <c r="W343" s="184">
        <f>Datasheet!W631/(Datasheet!W629+Datasheet!W630)</f>
        <v>0.43155317164179102</v>
      </c>
      <c r="X343" s="184">
        <f>Datasheet!X631/(Datasheet!X629+Datasheet!X630)</f>
        <v>0.43422105383472398</v>
      </c>
      <c r="Y343" s="184">
        <f>Datasheet!Y631/(Datasheet!Y629+Datasheet!Y630)</f>
        <v>0.44605277808707272</v>
      </c>
      <c r="Z343" s="184">
        <f>Datasheet!Z631/(Datasheet!Z629+Datasheet!Z630)</f>
        <v>0.4491458309763548</v>
      </c>
      <c r="AA343" s="184" t="e">
        <f>Datasheet!AA631/(Datasheet!AA629+Datasheet!AA630)</f>
        <v>#DIV/0!</v>
      </c>
      <c r="AB343" s="184" t="e">
        <f>Datasheet!AB631/(Datasheet!AB629+Datasheet!AB630)</f>
        <v>#DIV/0!</v>
      </c>
      <c r="AC343" s="184" t="e">
        <f>Datasheet!AC631/(Datasheet!AC629+Datasheet!AC630)</f>
        <v>#DIV/0!</v>
      </c>
      <c r="AD343" s="184" t="e">
        <f>Datasheet!AD631/(Datasheet!AD629+Datasheet!AD630)</f>
        <v>#DIV/0!</v>
      </c>
      <c r="AE343" s="184" t="e">
        <f>Datasheet!AE631/(Datasheet!AE629+Datasheet!AE630)</f>
        <v>#DIV/0!</v>
      </c>
      <c r="AF343" s="184" t="e">
        <f>Datasheet!AF631/(Datasheet!AF629+Datasheet!AF630)</f>
        <v>#DIV/0!</v>
      </c>
      <c r="AG343" s="184" t="e">
        <f>Datasheet!AG631/(Datasheet!AG629+Datasheet!AG630)</f>
        <v>#DIV/0!</v>
      </c>
      <c r="AH343" s="184" t="e">
        <f>Datasheet!AH631/(Datasheet!AH629+Datasheet!AH630)</f>
        <v>#DIV/0!</v>
      </c>
      <c r="AI343" s="184" t="e">
        <f>Datasheet!AI631/(Datasheet!AI629+Datasheet!AI630)</f>
        <v>#DIV/0!</v>
      </c>
      <c r="AJ343" s="184" t="e">
        <f>Datasheet!AJ631/(Datasheet!AJ629+Datasheet!AJ630)</f>
        <v>#DIV/0!</v>
      </c>
      <c r="AK343" s="184" t="e">
        <f>Datasheet!AK631/(Datasheet!AK629+Datasheet!AK630)</f>
        <v>#DIV/0!</v>
      </c>
    </row>
    <row r="344" spans="1:37" s="9" customFormat="1" x14ac:dyDescent="0.25">
      <c r="B344" s="66"/>
      <c r="C344" s="51"/>
      <c r="E344" s="109" t="s">
        <v>1088</v>
      </c>
      <c r="H344" s="109" t="s">
        <v>1314</v>
      </c>
      <c r="I344" s="184" t="e">
        <f>Datasheet!I612/SUM(Datasheet!I610:I611)</f>
        <v>#DIV/0!</v>
      </c>
      <c r="J344" s="184" t="e">
        <f>Datasheet!J612/SUM(Datasheet!J610:J611)</f>
        <v>#DIV/0!</v>
      </c>
      <c r="K344" s="184" t="e">
        <f>Datasheet!K612/SUM(Datasheet!K610:K611)</f>
        <v>#DIV/0!</v>
      </c>
      <c r="L344" s="184" t="e">
        <f>Datasheet!L612/SUM(Datasheet!L610:L611)</f>
        <v>#DIV/0!</v>
      </c>
      <c r="M344" s="184" t="e">
        <f>Datasheet!M612/SUM(Datasheet!M610:M611)</f>
        <v>#DIV/0!</v>
      </c>
      <c r="N344" s="184" t="e">
        <f>Datasheet!N612/SUM(Datasheet!N610:N611)</f>
        <v>#DIV/0!</v>
      </c>
      <c r="O344" s="184" t="e">
        <f>Datasheet!O612/SUM(Datasheet!O610:O611)</f>
        <v>#DIV/0!</v>
      </c>
      <c r="P344" s="184" t="e">
        <f>Datasheet!P612/SUM(Datasheet!P610:P611)</f>
        <v>#DIV/0!</v>
      </c>
      <c r="Q344" s="184">
        <f>Datasheet!Q612/SUM(Datasheet!Q610:Q611)</f>
        <v>0.4634301983114078</v>
      </c>
      <c r="R344" s="184">
        <f>Datasheet!R612/SUM(Datasheet!R610:R611)</f>
        <v>0.45779438535977773</v>
      </c>
      <c r="S344" s="184">
        <f>Datasheet!S612/SUM(Datasheet!S610:S611)</f>
        <v>0.45889628924833492</v>
      </c>
      <c r="T344" s="184">
        <f>Datasheet!T612/SUM(Datasheet!T610:T611)</f>
        <v>0.45996424538953706</v>
      </c>
      <c r="U344" s="184">
        <f>Datasheet!U612/SUM(Datasheet!U610:U611)</f>
        <v>0.46184143459524579</v>
      </c>
      <c r="V344" s="184">
        <f>Datasheet!V612/SUM(Datasheet!V610:V611)</f>
        <v>0.46379460002741102</v>
      </c>
      <c r="W344" s="184">
        <f>Datasheet!W612/SUM(Datasheet!W610:W611)</f>
        <v>0.46370731267198989</v>
      </c>
      <c r="X344" s="184">
        <f>Datasheet!X612/SUM(Datasheet!X610:X611)</f>
        <v>0.46651135701805474</v>
      </c>
      <c r="Y344" s="184">
        <f>Datasheet!Y612/SUM(Datasheet!Y610:Y611)</f>
        <v>0.47229230491980539</v>
      </c>
      <c r="Z344" s="184">
        <f>Datasheet!Z612/SUM(Datasheet!Z610:Z611)</f>
        <v>0.47105298397536044</v>
      </c>
      <c r="AA344" s="184" t="e">
        <f>Datasheet!AA612/SUM(Datasheet!AA610:AA611)</f>
        <v>#DIV/0!</v>
      </c>
      <c r="AB344" s="184" t="e">
        <f>Datasheet!AB612/SUM(Datasheet!AB610:AB611)</f>
        <v>#DIV/0!</v>
      </c>
      <c r="AC344" s="184" t="e">
        <f>Datasheet!AC612/SUM(Datasheet!AC610:AC611)</f>
        <v>#DIV/0!</v>
      </c>
      <c r="AD344" s="184" t="e">
        <f>Datasheet!AD612/SUM(Datasheet!AD610:AD611)</f>
        <v>#DIV/0!</v>
      </c>
      <c r="AE344" s="184" t="e">
        <f>Datasheet!AE612/SUM(Datasheet!AE610:AE611)</f>
        <v>#DIV/0!</v>
      </c>
      <c r="AF344" s="184" t="e">
        <f>Datasheet!AF612/SUM(Datasheet!AF610:AF611)</f>
        <v>#DIV/0!</v>
      </c>
      <c r="AG344" s="184" t="e">
        <f>Datasheet!AG612/SUM(Datasheet!AG610:AG611)</f>
        <v>#DIV/0!</v>
      </c>
      <c r="AH344" s="184" t="e">
        <f>Datasheet!AH612/SUM(Datasheet!AH610:AH611)</f>
        <v>#DIV/0!</v>
      </c>
      <c r="AI344" s="184" t="e">
        <f>Datasheet!AI612/SUM(Datasheet!AI610:AI611)</f>
        <v>#DIV/0!</v>
      </c>
      <c r="AJ344" s="184" t="e">
        <f>Datasheet!AJ612/SUM(Datasheet!AJ610:AJ611)</f>
        <v>#DIV/0!</v>
      </c>
      <c r="AK344" s="184" t="e">
        <f>Datasheet!AK612/SUM(Datasheet!AK610:AK611)</f>
        <v>#DIV/0!</v>
      </c>
    </row>
    <row r="345" spans="1:37" s="9" customFormat="1" x14ac:dyDescent="0.25">
      <c r="B345" s="66"/>
      <c r="C345" s="51" t="s">
        <v>1093</v>
      </c>
      <c r="I345" s="138"/>
      <c r="J345" s="138"/>
      <c r="K345" s="138"/>
      <c r="L345" s="138"/>
      <c r="M345" s="138"/>
      <c r="N345" s="138"/>
      <c r="O345" s="138"/>
      <c r="P345" s="138"/>
      <c r="Q345" s="138"/>
      <c r="R345" s="138"/>
      <c r="S345" s="138"/>
      <c r="T345" s="138"/>
      <c r="U345" s="138"/>
      <c r="V345" s="138"/>
      <c r="W345" s="138"/>
      <c r="X345" s="138"/>
      <c r="Y345" s="138"/>
      <c r="Z345" s="138"/>
      <c r="AA345" s="138"/>
      <c r="AB345" s="138"/>
      <c r="AC345" s="138"/>
      <c r="AD345" s="138"/>
      <c r="AE345" s="138"/>
      <c r="AF345" s="138"/>
      <c r="AG345" s="138"/>
      <c r="AH345" s="138"/>
      <c r="AI345" s="138"/>
      <c r="AJ345" s="138"/>
      <c r="AK345" s="138"/>
    </row>
    <row r="346" spans="1:37" s="9" customFormat="1" x14ac:dyDescent="0.25">
      <c r="B346" s="66"/>
      <c r="C346" s="51" t="s">
        <v>2035</v>
      </c>
      <c r="I346" s="138">
        <f>I347</f>
        <v>0.76300573014263473</v>
      </c>
      <c r="J346" s="138">
        <f t="shared" ref="J346:AK346" si="27">J347</f>
        <v>0.75757264153715076</v>
      </c>
      <c r="K346" s="138">
        <f t="shared" si="27"/>
        <v>0.75918531881168616</v>
      </c>
      <c r="L346" s="138">
        <f t="shared" si="27"/>
        <v>0.71662310945439667</v>
      </c>
      <c r="M346" s="138">
        <f t="shared" si="27"/>
        <v>0.67031079406651317</v>
      </c>
      <c r="N346" s="138">
        <f t="shared" si="27"/>
        <v>0.67031079406651317</v>
      </c>
      <c r="O346" s="138">
        <f t="shared" si="27"/>
        <v>0.6702284380194139</v>
      </c>
      <c r="P346" s="138">
        <f t="shared" si="27"/>
        <v>0.6702284380194139</v>
      </c>
      <c r="Q346" s="138">
        <f t="shared" si="27"/>
        <v>0.67432736312428643</v>
      </c>
      <c r="R346" s="138">
        <f t="shared" si="27"/>
        <v>0.67432736312428643</v>
      </c>
      <c r="S346" s="138">
        <f t="shared" si="27"/>
        <v>0.67432736312428643</v>
      </c>
      <c r="T346" s="138">
        <f t="shared" si="27"/>
        <v>0.67432736312428643</v>
      </c>
      <c r="U346" s="138">
        <f t="shared" si="27"/>
        <v>0.67432736312428643</v>
      </c>
      <c r="V346" s="138">
        <f t="shared" si="27"/>
        <v>0.67817986911109307</v>
      </c>
      <c r="W346" s="138">
        <f t="shared" si="27"/>
        <v>0.67817986911109307</v>
      </c>
      <c r="X346" s="138">
        <f t="shared" si="27"/>
        <v>0.67817986911109307</v>
      </c>
      <c r="Y346" s="138">
        <f t="shared" si="27"/>
        <v>0.59979499663666358</v>
      </c>
      <c r="Z346" s="138">
        <f t="shared" si="27"/>
        <v>0.59740872900791697</v>
      </c>
      <c r="AA346" s="138">
        <f t="shared" si="27"/>
        <v>0.59682676979104998</v>
      </c>
      <c r="AB346" s="138" t="e">
        <f t="shared" si="27"/>
        <v>#DIV/0!</v>
      </c>
      <c r="AC346" s="138" t="e">
        <f t="shared" si="27"/>
        <v>#DIV/0!</v>
      </c>
      <c r="AD346" s="138" t="e">
        <f t="shared" si="27"/>
        <v>#DIV/0!</v>
      </c>
      <c r="AE346" s="138" t="e">
        <f t="shared" si="27"/>
        <v>#DIV/0!</v>
      </c>
      <c r="AF346" s="138" t="e">
        <f t="shared" si="27"/>
        <v>#DIV/0!</v>
      </c>
      <c r="AG346" s="138" t="e">
        <f t="shared" si="27"/>
        <v>#DIV/0!</v>
      </c>
      <c r="AH346" s="138" t="e">
        <f t="shared" si="27"/>
        <v>#DIV/0!</v>
      </c>
      <c r="AI346" s="138" t="e">
        <f t="shared" si="27"/>
        <v>#DIV/0!</v>
      </c>
      <c r="AJ346" s="138" t="e">
        <f t="shared" si="27"/>
        <v>#DIV/0!</v>
      </c>
      <c r="AK346" s="138" t="e">
        <f t="shared" si="27"/>
        <v>#DIV/0!</v>
      </c>
    </row>
    <row r="347" spans="1:37" s="9" customFormat="1" x14ac:dyDescent="0.25">
      <c r="B347" s="66"/>
      <c r="C347" s="51"/>
      <c r="D347" s="9" t="s">
        <v>1143</v>
      </c>
      <c r="I347" s="138">
        <f>Datasheet!I1275/SUM(Datasheet!I1275,Datasheet!I1284)</f>
        <v>0.76300573014263473</v>
      </c>
      <c r="J347" s="138">
        <f>Datasheet!J1275/SUM(Datasheet!J1275,Datasheet!J1284)</f>
        <v>0.75757264153715076</v>
      </c>
      <c r="K347" s="138">
        <f>Datasheet!K1275/SUM(Datasheet!K1275,Datasheet!K1284)</f>
        <v>0.75918531881168616</v>
      </c>
      <c r="L347" s="138">
        <f>Datasheet!L1275/SUM(Datasheet!L1275,Datasheet!L1284)</f>
        <v>0.71662310945439667</v>
      </c>
      <c r="M347" s="138">
        <f>Datasheet!M1275/SUM(Datasheet!M1275,Datasheet!M1284)</f>
        <v>0.67031079406651317</v>
      </c>
      <c r="N347" s="138">
        <f>Datasheet!N1275/SUM(Datasheet!N1275,Datasheet!N1284)</f>
        <v>0.67031079406651317</v>
      </c>
      <c r="O347" s="138">
        <f>Datasheet!O1275/SUM(Datasheet!O1275,Datasheet!O1284)</f>
        <v>0.6702284380194139</v>
      </c>
      <c r="P347" s="138">
        <f>Datasheet!P1275/SUM(Datasheet!P1275,Datasheet!P1284)</f>
        <v>0.6702284380194139</v>
      </c>
      <c r="Q347" s="138">
        <f>Datasheet!Q1275/SUM(Datasheet!Q1275,Datasheet!Q1284)</f>
        <v>0.67432736312428643</v>
      </c>
      <c r="R347" s="138">
        <f>Datasheet!R1275/SUM(Datasheet!R1275,Datasheet!R1284)</f>
        <v>0.67432736312428643</v>
      </c>
      <c r="S347" s="138">
        <f>Datasheet!S1275/SUM(Datasheet!S1275,Datasheet!S1284)</f>
        <v>0.67432736312428643</v>
      </c>
      <c r="T347" s="138">
        <f>Datasheet!T1275/SUM(Datasheet!T1275,Datasheet!T1284)</f>
        <v>0.67432736312428643</v>
      </c>
      <c r="U347" s="138">
        <f>Datasheet!U1275/SUM(Datasheet!U1275,Datasheet!U1284)</f>
        <v>0.67432736312428643</v>
      </c>
      <c r="V347" s="138">
        <f>Datasheet!V1275/SUM(Datasheet!V1275,Datasheet!V1284)</f>
        <v>0.67817986911109307</v>
      </c>
      <c r="W347" s="138">
        <f>Datasheet!W1275/SUM(Datasheet!W1275,Datasheet!W1284)</f>
        <v>0.67817986911109307</v>
      </c>
      <c r="X347" s="138">
        <f>Datasheet!X1275/SUM(Datasheet!X1275,Datasheet!X1284)</f>
        <v>0.67817986911109307</v>
      </c>
      <c r="Y347" s="138">
        <f>Datasheet!Y1275/SUM(Datasheet!Y1275,Datasheet!Y1284)</f>
        <v>0.59979499663666358</v>
      </c>
      <c r="Z347" s="138">
        <f>Datasheet!Z1275/SUM(Datasheet!Z1275,Datasheet!Z1284)</f>
        <v>0.59740872900791697</v>
      </c>
      <c r="AA347" s="138">
        <f>Datasheet!AA1275/SUM(Datasheet!AA1275,Datasheet!AA1284)</f>
        <v>0.59682676979104998</v>
      </c>
      <c r="AB347" s="138" t="e">
        <f>Datasheet!AB1275/SUM(Datasheet!AB1275,Datasheet!AB1284)</f>
        <v>#DIV/0!</v>
      </c>
      <c r="AC347" s="138" t="e">
        <f>Datasheet!AC1275/SUM(Datasheet!AC1275,Datasheet!AC1284)</f>
        <v>#DIV/0!</v>
      </c>
      <c r="AD347" s="138" t="e">
        <f>Datasheet!AD1275/SUM(Datasheet!AD1275,Datasheet!AD1284)</f>
        <v>#DIV/0!</v>
      </c>
      <c r="AE347" s="138" t="e">
        <f>Datasheet!AE1275/SUM(Datasheet!AE1275,Datasheet!AE1284)</f>
        <v>#DIV/0!</v>
      </c>
      <c r="AF347" s="138" t="e">
        <f>Datasheet!AF1275/SUM(Datasheet!AF1275,Datasheet!AF1284)</f>
        <v>#DIV/0!</v>
      </c>
      <c r="AG347" s="138" t="e">
        <f>Datasheet!AG1275/SUM(Datasheet!AG1275,Datasheet!AG1284)</f>
        <v>#DIV/0!</v>
      </c>
      <c r="AH347" s="138" t="e">
        <f>Datasheet!AH1275/SUM(Datasheet!AH1275,Datasheet!AH1284)</f>
        <v>#DIV/0!</v>
      </c>
      <c r="AI347" s="138" t="e">
        <f>Datasheet!AI1275/SUM(Datasheet!AI1275,Datasheet!AI1284)</f>
        <v>#DIV/0!</v>
      </c>
      <c r="AJ347" s="138" t="e">
        <f>Datasheet!AJ1275/SUM(Datasheet!AJ1275,Datasheet!AJ1284)</f>
        <v>#DIV/0!</v>
      </c>
      <c r="AK347" s="138" t="e">
        <f>Datasheet!AK1275/SUM(Datasheet!AK1275,Datasheet!AK1284)</f>
        <v>#DIV/0!</v>
      </c>
    </row>
    <row r="348" spans="1:37" s="9" customFormat="1" x14ac:dyDescent="0.25">
      <c r="B348" s="66"/>
      <c r="C348" s="51"/>
      <c r="D348" s="9" t="s">
        <v>1144</v>
      </c>
      <c r="E348" s="109"/>
      <c r="I348" s="184"/>
      <c r="J348" s="184"/>
      <c r="K348" s="184"/>
      <c r="L348" s="184"/>
      <c r="M348" s="184"/>
      <c r="N348" s="184"/>
      <c r="O348" s="184"/>
      <c r="P348" s="184"/>
      <c r="Q348" s="184"/>
      <c r="R348" s="184"/>
      <c r="S348" s="184"/>
      <c r="T348" s="184"/>
      <c r="U348" s="184"/>
      <c r="V348" s="184"/>
      <c r="W348" s="184"/>
      <c r="X348" s="184"/>
      <c r="Y348" s="184"/>
      <c r="Z348" s="184"/>
      <c r="AA348" s="184"/>
      <c r="AB348" s="184"/>
      <c r="AC348" s="184"/>
      <c r="AD348" s="184"/>
      <c r="AE348" s="184"/>
      <c r="AF348" s="184"/>
      <c r="AG348" s="184"/>
      <c r="AH348" s="184"/>
      <c r="AI348" s="184"/>
      <c r="AJ348" s="184"/>
      <c r="AK348" s="184"/>
    </row>
    <row r="349" spans="1:37" s="9" customFormat="1" x14ac:dyDescent="0.25">
      <c r="B349" s="66"/>
      <c r="C349" s="51" t="s">
        <v>1575</v>
      </c>
      <c r="E349" s="109"/>
      <c r="I349" s="184"/>
      <c r="J349" s="184"/>
      <c r="K349" s="184"/>
      <c r="L349" s="184"/>
      <c r="M349" s="184"/>
      <c r="N349" s="184"/>
      <c r="O349" s="184"/>
      <c r="P349" s="184"/>
      <c r="Q349" s="184"/>
      <c r="R349" s="184"/>
      <c r="S349" s="184"/>
      <c r="T349" s="184"/>
      <c r="U349" s="184"/>
      <c r="V349" s="184"/>
      <c r="W349" s="184"/>
      <c r="X349" s="184"/>
      <c r="Y349" s="184"/>
      <c r="Z349" s="184"/>
      <c r="AA349" s="184"/>
      <c r="AB349" s="184"/>
      <c r="AC349" s="184"/>
      <c r="AD349" s="184"/>
      <c r="AE349" s="184"/>
      <c r="AF349" s="184"/>
      <c r="AG349" s="184"/>
      <c r="AH349" s="184"/>
      <c r="AI349" s="184"/>
      <c r="AJ349" s="184"/>
      <c r="AK349" s="184"/>
    </row>
    <row r="350" spans="1:37" s="95" customFormat="1" x14ac:dyDescent="0.25">
      <c r="B350" s="131"/>
      <c r="I350" s="233"/>
      <c r="J350" s="233"/>
      <c r="K350" s="233"/>
      <c r="L350" s="233"/>
      <c r="M350" s="233"/>
      <c r="N350" s="233"/>
      <c r="O350" s="233"/>
      <c r="P350" s="233"/>
      <c r="Q350" s="233"/>
      <c r="R350" s="233"/>
      <c r="S350" s="233"/>
      <c r="T350" s="233"/>
      <c r="U350" s="233"/>
      <c r="V350" s="233"/>
      <c r="W350" s="233"/>
      <c r="X350" s="233"/>
      <c r="Y350" s="233"/>
      <c r="Z350" s="233"/>
      <c r="AA350" s="233"/>
      <c r="AB350" s="233"/>
      <c r="AC350" s="233"/>
      <c r="AD350" s="233"/>
      <c r="AE350" s="233"/>
      <c r="AF350" s="233"/>
      <c r="AG350" s="233"/>
      <c r="AH350" s="233"/>
      <c r="AI350" s="233"/>
      <c r="AJ350" s="233"/>
      <c r="AK350" s="233"/>
    </row>
    <row r="351" spans="1:37" s="119" customFormat="1" ht="17.25" x14ac:dyDescent="0.3">
      <c r="A351" s="119" t="s">
        <v>407</v>
      </c>
    </row>
    <row r="352" spans="1:37" x14ac:dyDescent="0.25">
      <c r="B352" s="64" t="s">
        <v>33</v>
      </c>
      <c r="C352" t="s">
        <v>336</v>
      </c>
    </row>
    <row r="353" spans="2:4" x14ac:dyDescent="0.25">
      <c r="B353" s="64" t="s">
        <v>626</v>
      </c>
      <c r="C353" t="s">
        <v>1248</v>
      </c>
    </row>
    <row r="354" spans="2:4" x14ac:dyDescent="0.25">
      <c r="B354" s="64" t="s">
        <v>420</v>
      </c>
      <c r="C354" t="s">
        <v>1249</v>
      </c>
    </row>
    <row r="355" spans="2:4" x14ac:dyDescent="0.25">
      <c r="B355" s="64" t="s">
        <v>429</v>
      </c>
      <c r="C355" s="195" t="s">
        <v>312</v>
      </c>
    </row>
    <row r="356" spans="2:4" x14ac:dyDescent="0.25">
      <c r="B356" s="64"/>
      <c r="C356" s="195" t="s">
        <v>1450</v>
      </c>
    </row>
    <row r="357" spans="2:4" x14ac:dyDescent="0.25">
      <c r="B357" s="64"/>
      <c r="C357" s="195" t="s">
        <v>330</v>
      </c>
    </row>
    <row r="358" spans="2:4" s="223" customFormat="1" x14ac:dyDescent="0.25">
      <c r="B358" s="64"/>
      <c r="C358" s="195" t="s">
        <v>1576</v>
      </c>
    </row>
    <row r="359" spans="2:4" s="223" customFormat="1" x14ac:dyDescent="0.25">
      <c r="B359" s="64"/>
      <c r="C359" s="195" t="s">
        <v>1453</v>
      </c>
    </row>
    <row r="360" spans="2:4" s="223" customFormat="1" x14ac:dyDescent="0.25">
      <c r="B360" s="64"/>
      <c r="C360" s="195" t="s">
        <v>1454</v>
      </c>
    </row>
    <row r="361" spans="2:4" x14ac:dyDescent="0.25">
      <c r="B361" s="64" t="s">
        <v>421</v>
      </c>
      <c r="C361" t="s">
        <v>1250</v>
      </c>
    </row>
    <row r="362" spans="2:4" s="223" customFormat="1" x14ac:dyDescent="0.25">
      <c r="B362" s="64"/>
      <c r="D362" s="223" t="s">
        <v>1577</v>
      </c>
    </row>
    <row r="363" spans="2:4" x14ac:dyDescent="0.25">
      <c r="B363" s="64" t="s">
        <v>425</v>
      </c>
      <c r="C363" t="s">
        <v>1578</v>
      </c>
    </row>
    <row r="364" spans="2:4" s="223" customFormat="1" x14ac:dyDescent="0.25">
      <c r="B364" s="64"/>
      <c r="C364" s="223" t="s">
        <v>1252</v>
      </c>
    </row>
    <row r="365" spans="2:4" s="223" customFormat="1" x14ac:dyDescent="0.25">
      <c r="B365" s="64"/>
      <c r="C365" s="223" t="s">
        <v>1579</v>
      </c>
    </row>
    <row r="366" spans="2:4" s="223" customFormat="1" x14ac:dyDescent="0.25">
      <c r="B366" s="64"/>
      <c r="C366" s="223" t="s">
        <v>1580</v>
      </c>
    </row>
    <row r="367" spans="2:4" s="223" customFormat="1" x14ac:dyDescent="0.25">
      <c r="B367" s="64"/>
      <c r="C367" s="223" t="s">
        <v>1581</v>
      </c>
    </row>
    <row r="368" spans="2:4" s="223" customFormat="1" x14ac:dyDescent="0.25">
      <c r="B368" s="64"/>
      <c r="C368" s="223" t="s">
        <v>1582</v>
      </c>
    </row>
    <row r="369" spans="2:3" s="223" customFormat="1" x14ac:dyDescent="0.25">
      <c r="B369" s="64"/>
      <c r="C369" s="223" t="s">
        <v>1583</v>
      </c>
    </row>
    <row r="370" spans="2:3" s="223" customFormat="1" x14ac:dyDescent="0.25">
      <c r="B370" s="64"/>
      <c r="C370" s="223" t="s">
        <v>1584</v>
      </c>
    </row>
    <row r="371" spans="2:3" x14ac:dyDescent="0.25">
      <c r="B371" s="64" t="s">
        <v>333</v>
      </c>
      <c r="C371" t="s">
        <v>1251</v>
      </c>
    </row>
    <row r="372" spans="2:3" s="223" customFormat="1" x14ac:dyDescent="0.25">
      <c r="B372" s="64"/>
      <c r="C372" s="223" t="s">
        <v>2044</v>
      </c>
    </row>
    <row r="373" spans="2:3" s="223" customFormat="1" x14ac:dyDescent="0.25">
      <c r="B373" s="64"/>
      <c r="C373" s="223" t="s">
        <v>1585</v>
      </c>
    </row>
    <row r="374" spans="2:3" s="223" customFormat="1" x14ac:dyDescent="0.25">
      <c r="B374" s="64"/>
      <c r="C374" s="223" t="s">
        <v>1586</v>
      </c>
    </row>
    <row r="375" spans="2:3" s="223" customFormat="1" x14ac:dyDescent="0.25">
      <c r="B375" s="64" t="s">
        <v>334</v>
      </c>
      <c r="C375" s="223" t="s">
        <v>2036</v>
      </c>
    </row>
    <row r="376" spans="2:3" s="121" customFormat="1" ht="15.75" thickBot="1" x14ac:dyDescent="0.3">
      <c r="B376" s="130"/>
      <c r="C376" s="121" t="s">
        <v>1253</v>
      </c>
    </row>
    <row r="377" spans="2:3" ht="15.75" thickTop="1" x14ac:dyDescent="0.25"/>
    <row r="392" spans="1:37" s="5" customFormat="1" x14ac:dyDescent="0.25">
      <c r="B392" s="66" t="s">
        <v>34</v>
      </c>
    </row>
    <row r="393" spans="1:37" s="5" customFormat="1" x14ac:dyDescent="0.25">
      <c r="B393" s="66"/>
      <c r="C393" s="5" t="s">
        <v>801</v>
      </c>
      <c r="D393" s="2"/>
    </row>
    <row r="394" spans="1:37" s="5" customFormat="1" x14ac:dyDescent="0.25">
      <c r="B394" s="66"/>
      <c r="D394" s="2" t="s">
        <v>976</v>
      </c>
      <c r="H394" s="5" t="s">
        <v>1118</v>
      </c>
      <c r="I394" s="171">
        <f>Datasheet!I369</f>
        <v>16688.416666666668</v>
      </c>
      <c r="J394" s="171">
        <f>Datasheet!J369</f>
        <v>16546.083333333332</v>
      </c>
      <c r="K394" s="171">
        <f>Datasheet!K369</f>
        <v>16730.083333333332</v>
      </c>
      <c r="L394" s="171">
        <f>Datasheet!L369</f>
        <v>17250.833333333332</v>
      </c>
      <c r="M394" s="171">
        <f>Datasheet!M369</f>
        <v>17942.583333333332</v>
      </c>
      <c r="N394" s="171">
        <f>Datasheet!N369</f>
        <v>18444.75</v>
      </c>
      <c r="O394" s="171">
        <f>Datasheet!O369</f>
        <v>18906.166666666668</v>
      </c>
      <c r="P394" s="171">
        <f>Datasheet!P369</f>
        <v>17414.833333333332</v>
      </c>
      <c r="Q394" s="171">
        <f>Datasheet!Q369</f>
        <v>16937.583333333332</v>
      </c>
      <c r="R394" s="171">
        <f>Datasheet!R369</f>
        <v>16945.5</v>
      </c>
      <c r="S394" s="171">
        <f>Datasheet!S369</f>
        <v>17418.666666666668</v>
      </c>
      <c r="T394" s="171">
        <f>Datasheet!T369</f>
        <v>18106.833333333332</v>
      </c>
      <c r="U394" s="171">
        <f>Datasheet!U369</f>
        <v>18835.583333333332</v>
      </c>
      <c r="V394" s="171">
        <f>Datasheet!V369</f>
        <v>19496.583333333332</v>
      </c>
      <c r="W394" s="171">
        <f>Datasheet!W369</f>
        <v>20232</v>
      </c>
      <c r="X394" s="171">
        <f>Datasheet!X369</f>
        <v>20783.583333333332</v>
      </c>
      <c r="Y394" s="171">
        <f>Datasheet!Y369</f>
        <v>20959.25</v>
      </c>
      <c r="Z394" s="171">
        <f>Datasheet!Z369</f>
        <v>21429.083333333332</v>
      </c>
      <c r="AA394" s="171" t="e">
        <f>Datasheet!AA369</f>
        <v>#DIV/0!</v>
      </c>
      <c r="AB394" s="171" t="e">
        <f>Datasheet!AB369</f>
        <v>#DIV/0!</v>
      </c>
      <c r="AC394" s="171" t="e">
        <f>Datasheet!AC369</f>
        <v>#DIV/0!</v>
      </c>
      <c r="AD394" s="171" t="e">
        <f>Datasheet!AD369</f>
        <v>#DIV/0!</v>
      </c>
      <c r="AE394" s="171" t="e">
        <f>Datasheet!AE369</f>
        <v>#DIV/0!</v>
      </c>
      <c r="AF394" s="171" t="e">
        <f>Datasheet!AF369</f>
        <v>#DIV/0!</v>
      </c>
      <c r="AG394" s="171" t="e">
        <f>Datasheet!AG369</f>
        <v>#DIV/0!</v>
      </c>
      <c r="AH394" s="171" t="e">
        <f>Datasheet!AH369</f>
        <v>#DIV/0!</v>
      </c>
      <c r="AI394" s="171" t="e">
        <f>Datasheet!AI369</f>
        <v>#DIV/0!</v>
      </c>
      <c r="AJ394" s="171" t="e">
        <f>Datasheet!AJ369</f>
        <v>#DIV/0!</v>
      </c>
      <c r="AK394" s="171" t="e">
        <f>Datasheet!AK369</f>
        <v>#DIV/0!</v>
      </c>
    </row>
    <row r="395" spans="1:37" s="5" customFormat="1" x14ac:dyDescent="0.25">
      <c r="B395" s="192"/>
      <c r="C395" s="241"/>
      <c r="D395" s="2" t="s">
        <v>975</v>
      </c>
      <c r="H395" s="5" t="s">
        <v>1118</v>
      </c>
      <c r="I395" s="171">
        <f>Datasheet!I522</f>
        <v>13515</v>
      </c>
      <c r="J395" s="171">
        <f>Datasheet!J522</f>
        <v>13962</v>
      </c>
      <c r="K395" s="171">
        <f>Datasheet!K522</f>
        <v>14254</v>
      </c>
      <c r="L395" s="171">
        <f>Datasheet!L522</f>
        <v>14769</v>
      </c>
      <c r="M395" s="171">
        <f>Datasheet!M522</f>
        <v>15121</v>
      </c>
      <c r="N395" s="171">
        <f>Datasheet!N522</f>
        <v>15389</v>
      </c>
      <c r="O395" s="171">
        <f>Datasheet!O522</f>
        <v>16004</v>
      </c>
      <c r="P395" s="171">
        <f>Datasheet!P522</f>
        <v>14880</v>
      </c>
      <c r="Q395" s="171">
        <f>Datasheet!Q522</f>
        <v>14264</v>
      </c>
      <c r="R395" s="171">
        <f>Datasheet!R522</f>
        <v>14192</v>
      </c>
      <c r="S395" s="171">
        <f>Datasheet!S522</f>
        <v>14671</v>
      </c>
      <c r="T395" s="171">
        <f>Datasheet!T522</f>
        <v>15304</v>
      </c>
      <c r="U395" s="171">
        <f>Datasheet!U522</f>
        <v>16320</v>
      </c>
      <c r="V395" s="171">
        <f>Datasheet!V522</f>
        <v>16700</v>
      </c>
      <c r="W395" s="171">
        <f>Datasheet!W522</f>
        <v>16910</v>
      </c>
      <c r="X395" s="171">
        <f>Datasheet!X522</f>
        <v>17741</v>
      </c>
      <c r="Y395" s="171">
        <f>IF(Datasheet!Y522&gt;0,Datasheet!Y522,Y396)</f>
        <v>16717</v>
      </c>
      <c r="Z395" s="171">
        <f>IF(Datasheet!Z522&gt;0,Datasheet!Z522,Z396)</f>
        <v>17658</v>
      </c>
      <c r="AA395" s="171">
        <f>IF(Datasheet!AA522&gt;0,Datasheet!AA522,AA396)</f>
        <v>0</v>
      </c>
      <c r="AB395" s="171">
        <f>IF(Datasheet!AB522&gt;0,Datasheet!AB522,AB396)</f>
        <v>0</v>
      </c>
      <c r="AC395" s="171">
        <f>IF(Datasheet!AC522&gt;0,Datasheet!AC522,AC396)</f>
        <v>0</v>
      </c>
      <c r="AD395" s="171">
        <f>IF(Datasheet!AD522&gt;0,Datasheet!AD522,AD396)</f>
        <v>0</v>
      </c>
      <c r="AE395" s="171">
        <f>IF(Datasheet!AE522&gt;0,Datasheet!AE522,AE396)</f>
        <v>0</v>
      </c>
      <c r="AF395" s="171">
        <f>IF(Datasheet!AF522&gt;0,Datasheet!AF522,AF396)</f>
        <v>0</v>
      </c>
      <c r="AG395" s="171">
        <f>IF(Datasheet!AG522&gt;0,Datasheet!AG522,AG396)</f>
        <v>0</v>
      </c>
      <c r="AH395" s="171">
        <f>IF(Datasheet!AH522&gt;0,Datasheet!AH522,AH396)</f>
        <v>0</v>
      </c>
      <c r="AI395" s="171">
        <f>IF(Datasheet!AI522&gt;0,Datasheet!AI522,AI396)</f>
        <v>0</v>
      </c>
      <c r="AJ395" s="171">
        <f>IF(Datasheet!AJ522&gt;0,Datasheet!AJ522,AJ396)</f>
        <v>0</v>
      </c>
      <c r="AK395" s="171">
        <f>IF(Datasheet!AK522&gt;0,Datasheet!AK522,AK396)</f>
        <v>0</v>
      </c>
    </row>
    <row r="396" spans="1:37" s="186" customFormat="1" x14ac:dyDescent="0.25">
      <c r="B396" s="182"/>
      <c r="C396" s="129"/>
      <c r="D396" s="129"/>
      <c r="F396" s="186" t="s">
        <v>997</v>
      </c>
      <c r="H396" s="186" t="s">
        <v>1118</v>
      </c>
      <c r="I396" s="188">
        <f>MIN(Datasheet!I370:I381)</f>
        <v>14332</v>
      </c>
      <c r="J396" s="188">
        <f>MIN(Datasheet!J370:J381)</f>
        <v>14378</v>
      </c>
      <c r="K396" s="188">
        <f>MIN(Datasheet!K370:K381)</f>
        <v>14516</v>
      </c>
      <c r="L396" s="188">
        <f>MIN(Datasheet!L370:L381)</f>
        <v>15014</v>
      </c>
      <c r="M396" s="188">
        <f>MIN(Datasheet!M370:M381)</f>
        <v>15599</v>
      </c>
      <c r="N396" s="188">
        <f>MIN(Datasheet!N370:N381)</f>
        <v>16097</v>
      </c>
      <c r="O396" s="188">
        <f>MIN(Datasheet!O370:O381)</f>
        <v>16024</v>
      </c>
      <c r="P396" s="188">
        <f>MIN(Datasheet!P370:P381)</f>
        <v>14407</v>
      </c>
      <c r="Q396" s="188">
        <f>MIN(Datasheet!Q370:Q381)</f>
        <v>13867</v>
      </c>
      <c r="R396" s="188">
        <f>MIN(Datasheet!R370:R381)</f>
        <v>13891</v>
      </c>
      <c r="S396" s="188">
        <f>MIN(Datasheet!S370:S381)</f>
        <v>14916</v>
      </c>
      <c r="T396" s="188">
        <f>MIN(Datasheet!T370:T381)</f>
        <v>15483</v>
      </c>
      <c r="U396" s="188">
        <f>MIN(Datasheet!U370:U381)</f>
        <v>15675</v>
      </c>
      <c r="V396" s="188">
        <f>MIN(Datasheet!V370:V381)</f>
        <v>16310</v>
      </c>
      <c r="W396" s="188">
        <f>MIN(Datasheet!W370:W381)</f>
        <v>16938</v>
      </c>
      <c r="X396" s="188">
        <f>MIN(Datasheet!X370:X381)</f>
        <v>17445</v>
      </c>
      <c r="Y396" s="188">
        <f>MIN(Datasheet!Y370:Y381)</f>
        <v>17390</v>
      </c>
      <c r="Z396" s="188">
        <f>MIN(Datasheet!Z370:Z381)</f>
        <v>17658</v>
      </c>
      <c r="AA396" s="188">
        <f>MIN(Datasheet!AA370:AA381)</f>
        <v>0</v>
      </c>
      <c r="AB396" s="188">
        <f>MIN(Datasheet!AB370:AB381)</f>
        <v>0</v>
      </c>
      <c r="AC396" s="188">
        <f>MIN(Datasheet!AC370:AC381)</f>
        <v>0</v>
      </c>
      <c r="AD396" s="188">
        <f>MIN(Datasheet!AD370:AD381)</f>
        <v>0</v>
      </c>
      <c r="AE396" s="188">
        <f>MIN(Datasheet!AE370:AE381)</f>
        <v>0</v>
      </c>
      <c r="AF396" s="188">
        <f>MIN(Datasheet!AF370:AF381)</f>
        <v>0</v>
      </c>
      <c r="AG396" s="188">
        <f>MIN(Datasheet!AG370:AG381)</f>
        <v>0</v>
      </c>
      <c r="AH396" s="188">
        <f>MIN(Datasheet!AH370:AH381)</f>
        <v>0</v>
      </c>
      <c r="AI396" s="188">
        <f>MIN(Datasheet!AI370:AI381)</f>
        <v>0</v>
      </c>
      <c r="AJ396" s="188">
        <f>MIN(Datasheet!AJ370:AJ381)</f>
        <v>0</v>
      </c>
      <c r="AK396" s="188">
        <f>MIN(Datasheet!AK370:AK381)</f>
        <v>0</v>
      </c>
    </row>
    <row r="397" spans="1:37" s="186" customFormat="1" x14ac:dyDescent="0.25">
      <c r="B397" s="182"/>
      <c r="C397" s="129"/>
      <c r="D397" s="129"/>
      <c r="F397" s="186" t="s">
        <v>998</v>
      </c>
      <c r="I397" s="187">
        <f t="shared" ref="I397:AK397" si="28">I396/I395</f>
        <v>1.0604513503514614</v>
      </c>
      <c r="J397" s="187">
        <f t="shared" si="28"/>
        <v>1.0297951582867784</v>
      </c>
      <c r="K397" s="187">
        <f t="shared" si="28"/>
        <v>1.0183808053879613</v>
      </c>
      <c r="L397" s="187">
        <f t="shared" si="28"/>
        <v>1.0165888008666801</v>
      </c>
      <c r="M397" s="187">
        <f t="shared" si="28"/>
        <v>1.0316116658951127</v>
      </c>
      <c r="N397" s="187">
        <f t="shared" si="28"/>
        <v>1.0460068880369096</v>
      </c>
      <c r="O397" s="187">
        <f t="shared" si="28"/>
        <v>1.0012496875781054</v>
      </c>
      <c r="P397" s="187">
        <f t="shared" si="28"/>
        <v>0.96821236559139789</v>
      </c>
      <c r="Q397" s="187">
        <f t="shared" si="28"/>
        <v>0.97216769489624233</v>
      </c>
      <c r="R397" s="187">
        <f t="shared" si="28"/>
        <v>0.97879086809470128</v>
      </c>
      <c r="S397" s="187">
        <f t="shared" si="28"/>
        <v>1.0166996114784268</v>
      </c>
      <c r="T397" s="187">
        <f t="shared" si="28"/>
        <v>1.0116962885520124</v>
      </c>
      <c r="U397" s="187">
        <f t="shared" si="28"/>
        <v>0.96047794117647056</v>
      </c>
      <c r="V397" s="187">
        <f t="shared" si="28"/>
        <v>0.9766467065868264</v>
      </c>
      <c r="W397" s="187">
        <f t="shared" si="28"/>
        <v>1.0016558249556475</v>
      </c>
      <c r="X397" s="187">
        <f t="shared" si="28"/>
        <v>0.98331548390733325</v>
      </c>
      <c r="Y397" s="187">
        <f t="shared" si="28"/>
        <v>1.0402584195728899</v>
      </c>
      <c r="Z397" s="187">
        <f t="shared" si="28"/>
        <v>1</v>
      </c>
      <c r="AA397" s="187" t="e">
        <f t="shared" si="28"/>
        <v>#DIV/0!</v>
      </c>
      <c r="AB397" s="187" t="e">
        <f t="shared" si="28"/>
        <v>#DIV/0!</v>
      </c>
      <c r="AC397" s="187" t="e">
        <f t="shared" si="28"/>
        <v>#DIV/0!</v>
      </c>
      <c r="AD397" s="187" t="e">
        <f t="shared" si="28"/>
        <v>#DIV/0!</v>
      </c>
      <c r="AE397" s="187" t="e">
        <f t="shared" si="28"/>
        <v>#DIV/0!</v>
      </c>
      <c r="AF397" s="187" t="e">
        <f t="shared" si="28"/>
        <v>#DIV/0!</v>
      </c>
      <c r="AG397" s="187" t="e">
        <f t="shared" si="28"/>
        <v>#DIV/0!</v>
      </c>
      <c r="AH397" s="187" t="e">
        <f t="shared" si="28"/>
        <v>#DIV/0!</v>
      </c>
      <c r="AI397" s="187" t="e">
        <f t="shared" si="28"/>
        <v>#DIV/0!</v>
      </c>
      <c r="AJ397" s="187" t="e">
        <f t="shared" si="28"/>
        <v>#DIV/0!</v>
      </c>
      <c r="AK397" s="187" t="e">
        <f t="shared" si="28"/>
        <v>#DIV/0!</v>
      </c>
    </row>
    <row r="398" spans="1:37" s="5" customFormat="1" x14ac:dyDescent="0.25">
      <c r="B398" s="66"/>
      <c r="D398" s="5" t="s">
        <v>977</v>
      </c>
      <c r="E398" s="2"/>
      <c r="I398" s="170"/>
      <c r="J398" s="170"/>
      <c r="K398" s="170"/>
      <c r="L398" s="170"/>
      <c r="M398" s="170"/>
      <c r="N398" s="170"/>
      <c r="O398" s="170"/>
      <c r="P398" s="170"/>
      <c r="Q398" s="170"/>
      <c r="R398" s="170"/>
      <c r="S398" s="170"/>
      <c r="T398" s="170"/>
      <c r="U398" s="170"/>
      <c r="V398" s="170"/>
      <c r="W398" s="170"/>
      <c r="X398" s="170"/>
      <c r="Y398" s="170"/>
      <c r="Z398" s="170"/>
      <c r="AA398" s="170"/>
      <c r="AB398" s="170"/>
      <c r="AC398" s="170"/>
      <c r="AD398" s="170"/>
      <c r="AE398" s="170"/>
      <c r="AF398" s="170"/>
      <c r="AG398" s="170"/>
      <c r="AH398" s="170"/>
      <c r="AI398" s="170"/>
      <c r="AJ398" s="170"/>
      <c r="AK398" s="170"/>
    </row>
    <row r="399" spans="1:37" s="5" customFormat="1" x14ac:dyDescent="0.25">
      <c r="B399" s="66"/>
      <c r="E399" s="5" t="s">
        <v>978</v>
      </c>
    </row>
    <row r="400" spans="1:37" s="191" customFormat="1" x14ac:dyDescent="0.25">
      <c r="A400" s="191" t="s">
        <v>1587</v>
      </c>
      <c r="B400" s="192" t="s">
        <v>18</v>
      </c>
      <c r="C400" s="242"/>
      <c r="F400" s="191" t="s">
        <v>973</v>
      </c>
      <c r="H400" s="191" t="s">
        <v>1245</v>
      </c>
      <c r="I400" s="240">
        <f>IFERROR(Datasheet!I522/Datasheet!I534,AVERAGE(D400:G400))</f>
        <v>1.1234413965087282</v>
      </c>
      <c r="J400" s="240">
        <f>IFERROR(Datasheet!J522/Datasheet!J534,AVERAGE(E400:I400))</f>
        <v>1.1246979217013049</v>
      </c>
      <c r="K400" s="240">
        <f>IFERROR(Datasheet!K522/Datasheet!K534,AVERAGE(F400:J400))</f>
        <v>1.1283147312594</v>
      </c>
      <c r="L400" s="240">
        <f>IFERROR(Datasheet!L522/Datasheet!L534,AVERAGE(G400:K400))</f>
        <v>1.1438197026022305</v>
      </c>
      <c r="M400" s="240">
        <f>IFERROR(Datasheet!M522/Datasheet!M534,AVERAGE(H400:L400))</f>
        <v>1.1432783910479358</v>
      </c>
      <c r="N400" s="240">
        <f>IFERROR(Datasheet!N522/Datasheet!N534,AVERAGE(I400:M400))</f>
        <v>1.138660747317795</v>
      </c>
      <c r="O400" s="240">
        <f>IFERROR(Datasheet!O522/Datasheet!O534,AVERAGE(J400:N400))</f>
        <v>1.1500431158378845</v>
      </c>
      <c r="P400" s="240">
        <f>IFERROR(Datasheet!P522/Datasheet!P534,AVERAGE(K400:O400))</f>
        <v>1.1269312329597092</v>
      </c>
      <c r="Q400" s="240">
        <f>IFERROR(Datasheet!Q522/Datasheet!Q534,AVERAGE(L400:P400))</f>
        <v>1.1299112801013942</v>
      </c>
      <c r="R400" s="240">
        <f>IFERROR(Datasheet!R522/Datasheet!R534,AVERAGE(M400:Q400))</f>
        <v>1.1402860356741122</v>
      </c>
      <c r="S400" s="240">
        <f>IFERROR(Datasheet!S522/Datasheet!S534,AVERAGE(N400:R400))</f>
        <v>1.1451877292951369</v>
      </c>
      <c r="T400" s="240">
        <f>IFERROR(Datasheet!T522/Datasheet!T534,AVERAGE(O400:S400))</f>
        <v>1.1512826299556158</v>
      </c>
      <c r="U400" s="240">
        <f>IFERROR(Datasheet!U522/Datasheet!U534,AVERAGE(P400:T400))</f>
        <v>1.1463894352346164</v>
      </c>
      <c r="V400" s="240">
        <f>IFERROR(Datasheet!V522/Datasheet!V534,AVERAGE(Q400:U400))</f>
        <v>1.1594806637506074</v>
      </c>
      <c r="W400" s="240">
        <f>IFERROR(Datasheet!W522/Datasheet!W534,AVERAGE(R400:V400))</f>
        <v>1.1514367424758274</v>
      </c>
      <c r="X400" s="240">
        <f>IFERROR(Datasheet!X522/Datasheet!X534,AVERAGE(S400:W400))</f>
        <v>1.1600732361211012</v>
      </c>
      <c r="Y400" s="240">
        <f>IFERROR(Datasheet!Y522/Datasheet!Y534,AVERAGE(T400:X400))</f>
        <v>1.1516257922292643</v>
      </c>
      <c r="Z400" s="240">
        <f>IFERROR(Datasheet!Z522/Datasheet!Z534,AVERAGE(U400:Y400))</f>
        <v>1.1538011739622835</v>
      </c>
      <c r="AA400" s="240">
        <f>IFERROR(Datasheet!AA522/Datasheet!AA534,AVERAGE(V400:Z400))</f>
        <v>1.1552835217078168</v>
      </c>
      <c r="AB400" s="240">
        <f>IFERROR(Datasheet!AB522/Datasheet!AB534,AVERAGE(W400:AA400))</f>
        <v>1.1544440932992586</v>
      </c>
      <c r="AC400" s="240">
        <f>IFERROR(Datasheet!AC522/Datasheet!AC534,AVERAGE(X400:AB400))</f>
        <v>1.1550455634639449</v>
      </c>
      <c r="AD400" s="240">
        <f>IFERROR(Datasheet!AD522/Datasheet!AD534,AVERAGE(Y400:AC400))</f>
        <v>1.1540400289325137</v>
      </c>
      <c r="AE400" s="240">
        <f>IFERROR(Datasheet!AE522/Datasheet!AE534,AVERAGE(Z400:AD400))</f>
        <v>1.1545228762731636</v>
      </c>
      <c r="AF400" s="240">
        <f>IFERROR(Datasheet!AF522/Datasheet!AF534,AVERAGE(AA400:AE400))</f>
        <v>1.1546672167353393</v>
      </c>
      <c r="AG400" s="240">
        <f>IFERROR(Datasheet!AG522/Datasheet!AG534,AVERAGE(AB400:AF400))</f>
        <v>1.1545439557408439</v>
      </c>
      <c r="AH400" s="240">
        <f>IFERROR(Datasheet!AH522/Datasheet!AH534,AVERAGE(AC400:AG400))</f>
        <v>1.1545639282291611</v>
      </c>
      <c r="AI400" s="240">
        <f>IFERROR(Datasheet!AI522/Datasheet!AI534,AVERAGE(AD400:AH400))</f>
        <v>1.1544676011822044</v>
      </c>
      <c r="AJ400" s="240">
        <f>IFERROR(Datasheet!AJ522/Datasheet!AJ534,AVERAGE(AE400:AI400))</f>
        <v>1.1545531156321427</v>
      </c>
      <c r="AK400" s="240">
        <f>IFERROR(Datasheet!AK522/Datasheet!AK534,AVERAGE(AF400:AJ400))</f>
        <v>1.1545591635039383</v>
      </c>
    </row>
    <row r="401" spans="1:37" s="186" customFormat="1" x14ac:dyDescent="0.25">
      <c r="A401" s="191" t="s">
        <v>1588</v>
      </c>
      <c r="B401" s="182" t="s">
        <v>18</v>
      </c>
      <c r="F401" s="186" t="s">
        <v>974</v>
      </c>
      <c r="H401" s="186" t="s">
        <v>1245</v>
      </c>
      <c r="I401" s="190">
        <f>Datasheet!I546/Datasheet!I558</f>
        <v>1.1275856624032843</v>
      </c>
      <c r="J401" s="190">
        <f>Datasheet!J546/Datasheet!J558</f>
        <v>1.1349693251533743</v>
      </c>
      <c r="K401" s="190">
        <f>Datasheet!K546/Datasheet!K558</f>
        <v>1.125761993108932</v>
      </c>
      <c r="L401" s="190">
        <f>Datasheet!L546/Datasheet!L558</f>
        <v>1.145819486906819</v>
      </c>
      <c r="M401" s="190">
        <f>Datasheet!M546/Datasheet!M558</f>
        <v>1.1432063818836851</v>
      </c>
      <c r="N401" s="190">
        <f>Datasheet!N546/Datasheet!N558</f>
        <v>1.1272390364422482</v>
      </c>
      <c r="O401" s="190">
        <f>Datasheet!O546/Datasheet!O558</f>
        <v>1.1376875551632832</v>
      </c>
      <c r="P401" s="190">
        <f>Datasheet!P546/Datasheet!P558</f>
        <v>1.1273148148148149</v>
      </c>
      <c r="Q401" s="190">
        <f>Datasheet!Q546/Datasheet!Q558</f>
        <v>1.125944323708993</v>
      </c>
      <c r="R401" s="190">
        <f>Datasheet!R546/Datasheet!R558</f>
        <v>1.1335440074906367</v>
      </c>
      <c r="S401" s="190">
        <f>Datasheet!S546/Datasheet!S558</f>
        <v>1.139275766016713</v>
      </c>
      <c r="T401" s="190">
        <f>Datasheet!T546/Datasheet!T558</f>
        <v>1.1411001788908766</v>
      </c>
      <c r="U401" s="190">
        <f>Datasheet!U546/Datasheet!U558</f>
        <v>1.1393332645267829</v>
      </c>
      <c r="V401" s="190">
        <f>Datasheet!V546/Datasheet!V558</f>
        <v>1.1457243644325508</v>
      </c>
      <c r="W401" s="190">
        <f>Datasheet!W546/Datasheet!W558</f>
        <v>1.1474142097631705</v>
      </c>
      <c r="X401" s="190">
        <f>Datasheet!X546/Datasheet!X558</f>
        <v>1.1512786649057509</v>
      </c>
      <c r="Y401" s="190">
        <f>Datasheet!Y546/Datasheet!Y558</f>
        <v>1.1537363160399809</v>
      </c>
      <c r="Z401" s="190" t="e">
        <f>Datasheet!Z546/Datasheet!Z558</f>
        <v>#DIV/0!</v>
      </c>
      <c r="AA401" s="190" t="e">
        <f>Datasheet!AA546/Datasheet!AA558</f>
        <v>#DIV/0!</v>
      </c>
      <c r="AB401" s="190" t="e">
        <f>Datasheet!AB546/Datasheet!AB558</f>
        <v>#DIV/0!</v>
      </c>
      <c r="AC401" s="190" t="e">
        <f>Datasheet!AC546/Datasheet!AC558</f>
        <v>#DIV/0!</v>
      </c>
      <c r="AD401" s="190" t="e">
        <f>Datasheet!AD546/Datasheet!AD558</f>
        <v>#DIV/0!</v>
      </c>
      <c r="AE401" s="190" t="e">
        <f>Datasheet!AE546/Datasheet!AE558</f>
        <v>#DIV/0!</v>
      </c>
      <c r="AF401" s="190" t="e">
        <f>Datasheet!AF546/Datasheet!AF558</f>
        <v>#DIV/0!</v>
      </c>
      <c r="AG401" s="190" t="e">
        <f>Datasheet!AG546/Datasheet!AG558</f>
        <v>#DIV/0!</v>
      </c>
      <c r="AH401" s="190" t="e">
        <f>Datasheet!AH546/Datasheet!AH558</f>
        <v>#DIV/0!</v>
      </c>
      <c r="AI401" s="190" t="e">
        <f>Datasheet!AI546/Datasheet!AI558</f>
        <v>#DIV/0!</v>
      </c>
      <c r="AJ401" s="190" t="e">
        <f>Datasheet!AJ546/Datasheet!AJ558</f>
        <v>#DIV/0!</v>
      </c>
      <c r="AK401" s="190" t="e">
        <f>Datasheet!AK546/Datasheet!AK558</f>
        <v>#DIV/0!</v>
      </c>
    </row>
    <row r="402" spans="1:37" s="186" customFormat="1" x14ac:dyDescent="0.25">
      <c r="B402" s="182"/>
      <c r="F402" s="129" t="s">
        <v>1244</v>
      </c>
      <c r="H402" s="186" t="s">
        <v>1245</v>
      </c>
      <c r="I402" s="190">
        <f t="shared" ref="I402:AK402" si="29">I403/SUM(I422:I423,I437)</f>
        <v>1.1971272501853909</v>
      </c>
      <c r="J402" s="190">
        <f t="shared" si="29"/>
        <v>1.190286843729073</v>
      </c>
      <c r="K402" s="190">
        <f t="shared" si="29"/>
        <v>1.1849606145552767</v>
      </c>
      <c r="L402" s="190">
        <f t="shared" si="29"/>
        <v>1.1924324543702343</v>
      </c>
      <c r="M402" s="190">
        <f t="shared" si="29"/>
        <v>1.1882266360527001</v>
      </c>
      <c r="N402" s="190">
        <f t="shared" si="29"/>
        <v>1.1862110497410607</v>
      </c>
      <c r="O402" s="190">
        <f t="shared" si="29"/>
        <v>1.1974187647029852</v>
      </c>
      <c r="P402" s="190">
        <f t="shared" si="29"/>
        <v>1.1706219413091028</v>
      </c>
      <c r="Q402" s="190">
        <f t="shared" si="29"/>
        <v>1.174101295233059</v>
      </c>
      <c r="R402" s="190">
        <f t="shared" si="29"/>
        <v>1.1833188715192389</v>
      </c>
      <c r="S402" s="190">
        <f t="shared" si="29"/>
        <v>1.1895874219534335</v>
      </c>
      <c r="T402" s="190">
        <f t="shared" si="29"/>
        <v>1.1976450668445973</v>
      </c>
      <c r="U402" s="190">
        <f t="shared" si="29"/>
        <v>1.1907230327844038</v>
      </c>
      <c r="V402" s="190">
        <f t="shared" si="29"/>
        <v>1.2086284620503727</v>
      </c>
      <c r="W402" s="190">
        <f t="shared" si="29"/>
        <v>1.1990148917793957</v>
      </c>
      <c r="X402" s="190">
        <f t="shared" si="29"/>
        <v>1.200786944600021</v>
      </c>
      <c r="Y402" s="190">
        <f t="shared" si="29"/>
        <v>1.1918874332353113</v>
      </c>
      <c r="Z402" s="190">
        <f t="shared" si="29"/>
        <v>1.1954171471470916</v>
      </c>
      <c r="AA402" s="190" t="e">
        <f t="shared" si="29"/>
        <v>#DIV/0!</v>
      </c>
      <c r="AB402" s="190" t="e">
        <f t="shared" si="29"/>
        <v>#DIV/0!</v>
      </c>
      <c r="AC402" s="190" t="e">
        <f t="shared" si="29"/>
        <v>#DIV/0!</v>
      </c>
      <c r="AD402" s="190" t="e">
        <f t="shared" si="29"/>
        <v>#DIV/0!</v>
      </c>
      <c r="AE402" s="190" t="e">
        <f t="shared" si="29"/>
        <v>#DIV/0!</v>
      </c>
      <c r="AF402" s="190" t="e">
        <f t="shared" si="29"/>
        <v>#DIV/0!</v>
      </c>
      <c r="AG402" s="190" t="e">
        <f t="shared" si="29"/>
        <v>#DIV/0!</v>
      </c>
      <c r="AH402" s="190" t="e">
        <f t="shared" si="29"/>
        <v>#DIV/0!</v>
      </c>
      <c r="AI402" s="190" t="e">
        <f t="shared" si="29"/>
        <v>#DIV/0!</v>
      </c>
      <c r="AJ402" s="190" t="e">
        <f t="shared" si="29"/>
        <v>#DIV/0!</v>
      </c>
      <c r="AK402" s="190" t="e">
        <f t="shared" si="29"/>
        <v>#DIV/0!</v>
      </c>
    </row>
    <row r="403" spans="1:37" s="186" customFormat="1" x14ac:dyDescent="0.25">
      <c r="B403" s="182"/>
      <c r="G403" s="129" t="s">
        <v>1589</v>
      </c>
      <c r="H403" s="186" t="s">
        <v>1118</v>
      </c>
      <c r="I403" s="188">
        <f>Datasheet!I242</f>
        <v>17783</v>
      </c>
      <c r="J403" s="188">
        <f>Datasheet!J242</f>
        <v>17511</v>
      </c>
      <c r="K403" s="188">
        <f>Datasheet!K242</f>
        <v>17570</v>
      </c>
      <c r="L403" s="188">
        <f>Datasheet!L242</f>
        <v>17984</v>
      </c>
      <c r="M403" s="188">
        <f>Datasheet!M242</f>
        <v>18648</v>
      </c>
      <c r="N403" s="188">
        <f>Datasheet!N242</f>
        <v>19215</v>
      </c>
      <c r="O403" s="188">
        <f>Datasheet!O242</f>
        <v>19685</v>
      </c>
      <c r="P403" s="188">
        <f>Datasheet!P242</f>
        <v>18090</v>
      </c>
      <c r="Q403" s="188">
        <f>Datasheet!Q242</f>
        <v>17600</v>
      </c>
      <c r="R403" s="188">
        <f>Datasheet!R242</f>
        <v>17585</v>
      </c>
      <c r="S403" s="188">
        <f>Datasheet!S242</f>
        <v>18094</v>
      </c>
      <c r="T403" s="188">
        <f>Datasheet!T242</f>
        <v>18836</v>
      </c>
      <c r="U403" s="188">
        <f>Datasheet!U242</f>
        <v>19564</v>
      </c>
      <c r="V403" s="188">
        <f>Datasheet!V242</f>
        <v>20323</v>
      </c>
      <c r="W403" s="188">
        <f>Datasheet!W242</f>
        <v>21068</v>
      </c>
      <c r="X403" s="188">
        <f>Datasheet!X242</f>
        <v>21513</v>
      </c>
      <c r="Y403" s="188">
        <f>Datasheet!Y242</f>
        <v>21692</v>
      </c>
      <c r="Z403" s="188">
        <f>Datasheet!Z242</f>
        <v>22202</v>
      </c>
      <c r="AA403" s="188">
        <f>Datasheet!AA242</f>
        <v>0</v>
      </c>
      <c r="AB403" s="188">
        <f>Datasheet!AB242</f>
        <v>0</v>
      </c>
      <c r="AC403" s="188">
        <f>Datasheet!AC242</f>
        <v>0</v>
      </c>
      <c r="AD403" s="188">
        <f>Datasheet!AD242</f>
        <v>0</v>
      </c>
      <c r="AE403" s="188">
        <f>Datasheet!AE242</f>
        <v>0</v>
      </c>
      <c r="AF403" s="188">
        <f>Datasheet!AF242</f>
        <v>0</v>
      </c>
      <c r="AG403" s="188">
        <f>Datasheet!AG242</f>
        <v>0</v>
      </c>
      <c r="AH403" s="188">
        <f>Datasheet!AH242</f>
        <v>0</v>
      </c>
      <c r="AI403" s="188">
        <f>Datasheet!AI242</f>
        <v>0</v>
      </c>
      <c r="AJ403" s="188">
        <f>Datasheet!AJ242</f>
        <v>0</v>
      </c>
      <c r="AK403" s="188">
        <f>Datasheet!AK242</f>
        <v>0</v>
      </c>
    </row>
    <row r="404" spans="1:37" s="186" customFormat="1" x14ac:dyDescent="0.25">
      <c r="B404" s="182"/>
      <c r="E404" s="186" t="s">
        <v>986</v>
      </c>
      <c r="H404" s="186" t="s">
        <v>1245</v>
      </c>
      <c r="I404" s="187">
        <f>Datasheet!I243/I436</f>
        <v>1.338471831945915</v>
      </c>
      <c r="J404" s="187">
        <f>Datasheet!J243/J436</f>
        <v>1.299474889724868</v>
      </c>
      <c r="K404" s="187">
        <f>Datasheet!K243/K436</f>
        <v>1.3752023407057943</v>
      </c>
      <c r="L404" s="187">
        <f>Datasheet!L243/L436</f>
        <v>1.4221516848296207</v>
      </c>
      <c r="M404" s="187">
        <f>Datasheet!M243/M436</f>
        <v>1.6226920164890202</v>
      </c>
      <c r="N404" s="187">
        <f>Datasheet!N243/N436</f>
        <v>1.7940127783990139</v>
      </c>
      <c r="O404" s="187">
        <f>Datasheet!O243/O436</f>
        <v>1.7877924325238181</v>
      </c>
      <c r="P404" s="187">
        <f>Datasheet!P243/P436</f>
        <v>1.9845341017265792</v>
      </c>
      <c r="Q404" s="187">
        <f>Datasheet!Q243/Q436</f>
        <v>2.1053643646977012</v>
      </c>
      <c r="R404" s="187">
        <f>Datasheet!R243/R436</f>
        <v>2.1984615326074786</v>
      </c>
      <c r="S404" s="187">
        <f>Datasheet!S243/S436</f>
        <v>2.1827172023617885</v>
      </c>
      <c r="T404" s="187">
        <f>Datasheet!T243/T436</f>
        <v>2.2236787483008471</v>
      </c>
      <c r="U404" s="187">
        <f>Datasheet!U243/U436</f>
        <v>2.160256192303875</v>
      </c>
      <c r="V404" s="187">
        <f>Datasheet!V243/V436</f>
        <v>2.2978179638463949</v>
      </c>
      <c r="W404" s="187">
        <f>Datasheet!W243/W436</f>
        <v>2.2892322637686227</v>
      </c>
      <c r="X404" s="187">
        <f>Datasheet!X243/X436</f>
        <v>2.144319922046213</v>
      </c>
      <c r="Y404" s="187">
        <f>Datasheet!Y243/Y436</f>
        <v>2.699358452885035</v>
      </c>
      <c r="Z404" s="187">
        <f>Datasheet!Z243/Z436</f>
        <v>2.5490851015080618</v>
      </c>
      <c r="AA404" s="187" t="e">
        <f>Datasheet!AA243/AA436</f>
        <v>#DIV/0!</v>
      </c>
      <c r="AB404" s="187" t="e">
        <f>Datasheet!AB243/AB436</f>
        <v>#DIV/0!</v>
      </c>
      <c r="AC404" s="187" t="e">
        <f>Datasheet!AC243/AC436</f>
        <v>#DIV/0!</v>
      </c>
      <c r="AD404" s="187" t="e">
        <f>Datasheet!AD243/AD436</f>
        <v>#DIV/0!</v>
      </c>
      <c r="AE404" s="187" t="e">
        <f>Datasheet!AE243/AE436</f>
        <v>#DIV/0!</v>
      </c>
      <c r="AF404" s="187" t="e">
        <f>Datasheet!AF243/AF436</f>
        <v>#DIV/0!</v>
      </c>
      <c r="AG404" s="187" t="e">
        <f>Datasheet!AG243/AG436</f>
        <v>#DIV/0!</v>
      </c>
      <c r="AH404" s="187" t="e">
        <f>Datasheet!AH243/AH436</f>
        <v>#DIV/0!</v>
      </c>
      <c r="AI404" s="187" t="e">
        <f>Datasheet!AI243/AI436</f>
        <v>#DIV/0!</v>
      </c>
      <c r="AJ404" s="187" t="e">
        <f>Datasheet!AJ243/AJ436</f>
        <v>#DIV/0!</v>
      </c>
      <c r="AK404" s="187" t="e">
        <f>Datasheet!AK243/AK436</f>
        <v>#DIV/0!</v>
      </c>
    </row>
    <row r="405" spans="1:37" s="186" customFormat="1" x14ac:dyDescent="0.25">
      <c r="B405" s="182"/>
      <c r="C405" s="186" t="s">
        <v>1247</v>
      </c>
      <c r="D405" s="129"/>
      <c r="I405" s="237"/>
      <c r="J405" s="237"/>
      <c r="K405" s="237"/>
      <c r="L405" s="237"/>
      <c r="M405" s="237"/>
      <c r="N405" s="237"/>
      <c r="O405" s="237"/>
      <c r="P405" s="237"/>
      <c r="Q405" s="237"/>
      <c r="R405" s="237"/>
      <c r="S405" s="237"/>
      <c r="T405" s="237"/>
      <c r="U405" s="237"/>
      <c r="V405" s="237"/>
      <c r="W405" s="237"/>
      <c r="X405" s="237"/>
      <c r="Y405" s="237"/>
      <c r="Z405" s="237"/>
      <c r="AA405" s="237"/>
      <c r="AB405" s="237"/>
      <c r="AC405" s="237"/>
      <c r="AD405" s="237"/>
      <c r="AE405" s="237"/>
      <c r="AF405" s="237"/>
      <c r="AG405" s="237"/>
      <c r="AH405" s="237"/>
      <c r="AI405" s="237"/>
      <c r="AJ405" s="237"/>
      <c r="AK405" s="237"/>
    </row>
    <row r="406" spans="1:37" s="186" customFormat="1" x14ac:dyDescent="0.25">
      <c r="A406" s="238" t="s">
        <v>989</v>
      </c>
      <c r="B406" s="110" t="s">
        <v>18</v>
      </c>
      <c r="D406" s="186" t="s">
        <v>984</v>
      </c>
      <c r="H406" s="186" t="s">
        <v>1025</v>
      </c>
      <c r="Q406" s="188">
        <f>Datasheet!Q590</f>
        <v>15652</v>
      </c>
      <c r="R406" s="188">
        <f>Datasheet!R590</f>
        <v>16331</v>
      </c>
      <c r="S406" s="188">
        <f>Datasheet!S590</f>
        <v>16101</v>
      </c>
      <c r="T406" s="188">
        <f>Datasheet!T590</f>
        <v>16478</v>
      </c>
      <c r="U406" s="188">
        <f>Datasheet!U590</f>
        <v>16536</v>
      </c>
      <c r="V406" s="188">
        <f>Datasheet!V590</f>
        <v>17393</v>
      </c>
      <c r="W406" s="188">
        <f>Datasheet!W590</f>
        <v>17527</v>
      </c>
      <c r="X406" s="188">
        <f>Datasheet!X590</f>
        <v>17759</v>
      </c>
      <c r="Y406" s="188">
        <f>Datasheet!Y590</f>
        <v>17725</v>
      </c>
      <c r="Z406" s="188">
        <f>Datasheet!Z590</f>
        <v>18513</v>
      </c>
      <c r="AA406" s="188">
        <f>Datasheet!AA590</f>
        <v>0</v>
      </c>
      <c r="AB406" s="188">
        <f>Datasheet!AB590</f>
        <v>0</v>
      </c>
      <c r="AC406" s="188">
        <f>Datasheet!AC590</f>
        <v>0</v>
      </c>
      <c r="AD406" s="188">
        <f>Datasheet!AD590</f>
        <v>0</v>
      </c>
      <c r="AE406" s="188">
        <f>Datasheet!AE590</f>
        <v>0</v>
      </c>
      <c r="AF406" s="188">
        <f>Datasheet!AF590</f>
        <v>0</v>
      </c>
      <c r="AG406" s="188">
        <f>Datasheet!AG590</f>
        <v>0</v>
      </c>
      <c r="AH406" s="188">
        <f>Datasheet!AH590</f>
        <v>0</v>
      </c>
      <c r="AI406" s="188">
        <f>Datasheet!AI590</f>
        <v>0</v>
      </c>
      <c r="AJ406" s="188">
        <f>Datasheet!AJ590</f>
        <v>0</v>
      </c>
      <c r="AK406" s="188">
        <f>Datasheet!AK590</f>
        <v>0</v>
      </c>
    </row>
    <row r="407" spans="1:37" s="186" customFormat="1" x14ac:dyDescent="0.25">
      <c r="B407" s="182"/>
      <c r="E407" s="186" t="s">
        <v>987</v>
      </c>
      <c r="H407" s="186" t="s">
        <v>1025</v>
      </c>
      <c r="I407" s="188">
        <f>Datasheet!I534</f>
        <v>12030</v>
      </c>
      <c r="J407" s="188">
        <f>Datasheet!J534</f>
        <v>12414</v>
      </c>
      <c r="K407" s="188">
        <f>Datasheet!K534</f>
        <v>12633</v>
      </c>
      <c r="L407" s="188">
        <f>Datasheet!L534</f>
        <v>12912</v>
      </c>
      <c r="M407" s="188">
        <f>Datasheet!M534</f>
        <v>13226</v>
      </c>
      <c r="N407" s="188">
        <f>Datasheet!N534</f>
        <v>13515</v>
      </c>
      <c r="O407" s="188">
        <f>Datasheet!O534</f>
        <v>13916</v>
      </c>
      <c r="P407" s="188">
        <f>Datasheet!P534</f>
        <v>13204</v>
      </c>
      <c r="Q407" s="188">
        <f>Datasheet!Q534</f>
        <v>12624</v>
      </c>
      <c r="R407" s="188">
        <f>Datasheet!R534</f>
        <v>12446</v>
      </c>
      <c r="S407" s="188">
        <f>Datasheet!S534</f>
        <v>12811</v>
      </c>
      <c r="T407" s="188">
        <f>Datasheet!T534</f>
        <v>13293</v>
      </c>
      <c r="U407" s="188">
        <f>Datasheet!U534</f>
        <v>14236</v>
      </c>
      <c r="V407" s="188">
        <f>Datasheet!V534</f>
        <v>14403</v>
      </c>
      <c r="W407" s="188">
        <f>Datasheet!W534</f>
        <v>14686</v>
      </c>
      <c r="X407" s="188">
        <f>Datasheet!X534</f>
        <v>15293</v>
      </c>
      <c r="Y407" s="188">
        <f>Datasheet!Y534</f>
        <v>14516</v>
      </c>
      <c r="Z407" s="188">
        <f>Datasheet!Z534</f>
        <v>0</v>
      </c>
      <c r="AA407" s="188">
        <f>Datasheet!AA534</f>
        <v>0</v>
      </c>
      <c r="AB407" s="188">
        <f>Datasheet!AB534</f>
        <v>0</v>
      </c>
      <c r="AC407" s="188">
        <f>Datasheet!AC534</f>
        <v>0</v>
      </c>
      <c r="AD407" s="188">
        <f>Datasheet!AD534</f>
        <v>0</v>
      </c>
      <c r="AE407" s="188">
        <f>Datasheet!AE534</f>
        <v>0</v>
      </c>
      <c r="AF407" s="188">
        <f>Datasheet!AF534</f>
        <v>0</v>
      </c>
      <c r="AG407" s="188">
        <f>Datasheet!AG534</f>
        <v>0</v>
      </c>
      <c r="AH407" s="188">
        <f>Datasheet!AH534</f>
        <v>0</v>
      </c>
      <c r="AI407" s="188">
        <f>Datasheet!AI534</f>
        <v>0</v>
      </c>
      <c r="AJ407" s="188">
        <f>Datasheet!AJ534</f>
        <v>0</v>
      </c>
      <c r="AK407" s="188">
        <f>Datasheet!AK534</f>
        <v>0</v>
      </c>
    </row>
    <row r="408" spans="1:37" s="186" customFormat="1" x14ac:dyDescent="0.25">
      <c r="B408" s="182"/>
      <c r="F408" s="186" t="s">
        <v>988</v>
      </c>
      <c r="Q408" s="186">
        <f t="shared" ref="Q408:Y408" si="30">Q406/Q407</f>
        <v>1.2398605830164766</v>
      </c>
      <c r="R408" s="186">
        <f t="shared" si="30"/>
        <v>1.3121484814398201</v>
      </c>
      <c r="S408" s="186">
        <f t="shared" si="30"/>
        <v>1.2568105534306455</v>
      </c>
      <c r="T408" s="186">
        <f t="shared" si="30"/>
        <v>1.2395997893628226</v>
      </c>
      <c r="U408" s="186">
        <f t="shared" si="30"/>
        <v>1.1615622365833098</v>
      </c>
      <c r="V408" s="186">
        <f t="shared" si="30"/>
        <v>1.2075956397972645</v>
      </c>
      <c r="W408" s="186">
        <f t="shared" si="30"/>
        <v>1.1934495437831949</v>
      </c>
      <c r="X408" s="186">
        <f t="shared" si="30"/>
        <v>1.1612502452102269</v>
      </c>
      <c r="Y408" s="186">
        <f t="shared" si="30"/>
        <v>1.2210664094791954</v>
      </c>
    </row>
    <row r="409" spans="1:37" s="186" customFormat="1" x14ac:dyDescent="0.25">
      <c r="B409" s="239"/>
      <c r="C409" s="129"/>
      <c r="E409" s="186" t="s">
        <v>995</v>
      </c>
      <c r="H409" s="186" t="s">
        <v>1025</v>
      </c>
      <c r="I409" s="188">
        <f t="shared" ref="I409:AK409" si="31">I394/I400</f>
        <v>14854.728264890862</v>
      </c>
      <c r="J409" s="188">
        <f t="shared" si="31"/>
        <v>14711.579895430454</v>
      </c>
      <c r="K409" s="188">
        <f t="shared" si="31"/>
        <v>14827.497035919741</v>
      </c>
      <c r="L409" s="188">
        <f t="shared" si="31"/>
        <v>15081.776694427515</v>
      </c>
      <c r="M409" s="188">
        <f t="shared" si="31"/>
        <v>15693.975740140642</v>
      </c>
      <c r="N409" s="188">
        <f t="shared" si="31"/>
        <v>16198.635145233609</v>
      </c>
      <c r="O409" s="188">
        <f t="shared" si="31"/>
        <v>16439.528576189285</v>
      </c>
      <c r="P409" s="188">
        <f t="shared" si="31"/>
        <v>15453.323879928314</v>
      </c>
      <c r="Q409" s="188">
        <f t="shared" si="31"/>
        <v>14990.188726864833</v>
      </c>
      <c r="R409" s="188">
        <f t="shared" si="31"/>
        <v>14860.744997181509</v>
      </c>
      <c r="S409" s="188">
        <f t="shared" si="31"/>
        <v>15210.315497693866</v>
      </c>
      <c r="T409" s="188">
        <f t="shared" si="31"/>
        <v>15727.531070308414</v>
      </c>
      <c r="U409" s="188">
        <f t="shared" si="31"/>
        <v>16430.353206699347</v>
      </c>
      <c r="V409" s="188">
        <f t="shared" si="31"/>
        <v>16814.92752994012</v>
      </c>
      <c r="W409" s="188">
        <f t="shared" si="31"/>
        <v>17571.091188645769</v>
      </c>
      <c r="X409" s="188">
        <f t="shared" si="31"/>
        <v>17915.751080359991</v>
      </c>
      <c r="Y409" s="188">
        <f t="shared" si="31"/>
        <v>18199.705270084345</v>
      </c>
      <c r="Z409" s="188">
        <f t="shared" si="31"/>
        <v>18572.596229680923</v>
      </c>
      <c r="AA409" s="188" t="e">
        <f t="shared" si="31"/>
        <v>#DIV/0!</v>
      </c>
      <c r="AB409" s="188" t="e">
        <f t="shared" si="31"/>
        <v>#DIV/0!</v>
      </c>
      <c r="AC409" s="188" t="e">
        <f t="shared" si="31"/>
        <v>#DIV/0!</v>
      </c>
      <c r="AD409" s="188" t="e">
        <f t="shared" si="31"/>
        <v>#DIV/0!</v>
      </c>
      <c r="AE409" s="188" t="e">
        <f t="shared" si="31"/>
        <v>#DIV/0!</v>
      </c>
      <c r="AF409" s="188" t="e">
        <f t="shared" si="31"/>
        <v>#DIV/0!</v>
      </c>
      <c r="AG409" s="188" t="e">
        <f t="shared" si="31"/>
        <v>#DIV/0!</v>
      </c>
      <c r="AH409" s="188" t="e">
        <f t="shared" si="31"/>
        <v>#DIV/0!</v>
      </c>
      <c r="AI409" s="188" t="e">
        <f t="shared" si="31"/>
        <v>#DIV/0!</v>
      </c>
      <c r="AJ409" s="188" t="e">
        <f t="shared" si="31"/>
        <v>#DIV/0!</v>
      </c>
      <c r="AK409" s="188" t="e">
        <f t="shared" si="31"/>
        <v>#DIV/0!</v>
      </c>
    </row>
    <row r="410" spans="1:37" s="186" customFormat="1" x14ac:dyDescent="0.25">
      <c r="B410" s="110"/>
      <c r="F410" s="129" t="s">
        <v>994</v>
      </c>
      <c r="Q410" s="186">
        <f t="shared" ref="Q410:Y410" si="32">Q406/Q409</f>
        <v>1.0441496291470362</v>
      </c>
      <c r="R410" s="186">
        <f t="shared" si="32"/>
        <v>1.0989354842639005</v>
      </c>
      <c r="S410" s="186">
        <f t="shared" si="32"/>
        <v>1.0585579242219647</v>
      </c>
      <c r="T410" s="186">
        <f t="shared" si="32"/>
        <v>1.0477168937919554</v>
      </c>
      <c r="U410" s="186">
        <f t="shared" si="32"/>
        <v>1.0064299770048508</v>
      </c>
      <c r="V410" s="186">
        <f t="shared" si="32"/>
        <v>1.0343785287822729</v>
      </c>
      <c r="W410" s="186">
        <f t="shared" si="32"/>
        <v>0.99749069718138739</v>
      </c>
      <c r="X410" s="186">
        <f t="shared" si="32"/>
        <v>0.99125065537822588</v>
      </c>
      <c r="Y410" s="186">
        <f t="shared" si="32"/>
        <v>0.97391687046357622</v>
      </c>
      <c r="Z410" s="188"/>
      <c r="AA410" s="188"/>
      <c r="AB410" s="188"/>
      <c r="AC410" s="188"/>
      <c r="AD410" s="188"/>
      <c r="AE410" s="188"/>
      <c r="AF410" s="188"/>
      <c r="AG410" s="188"/>
      <c r="AH410" s="188"/>
      <c r="AI410" s="188"/>
      <c r="AJ410" s="188"/>
      <c r="AK410" s="188"/>
    </row>
    <row r="411" spans="1:37" s="9" customFormat="1" x14ac:dyDescent="0.25">
      <c r="C411" s="9" t="s">
        <v>1246</v>
      </c>
      <c r="D411" s="51"/>
      <c r="I411" s="171"/>
      <c r="J411" s="171"/>
      <c r="K411" s="171"/>
      <c r="L411" s="171"/>
      <c r="M411" s="171"/>
      <c r="N411" s="171"/>
      <c r="O411" s="171"/>
      <c r="P411" s="171"/>
      <c r="Q411" s="171"/>
      <c r="R411" s="171"/>
      <c r="S411" s="171"/>
      <c r="T411" s="171"/>
      <c r="U411" s="171"/>
      <c r="V411" s="171"/>
      <c r="W411" s="171"/>
      <c r="X411" s="171"/>
      <c r="Y411" s="171"/>
      <c r="Z411" s="171"/>
      <c r="AA411" s="171"/>
      <c r="AB411" s="171"/>
      <c r="AC411" s="171"/>
      <c r="AD411" s="171"/>
      <c r="AE411" s="171"/>
      <c r="AF411" s="171"/>
      <c r="AG411" s="171"/>
      <c r="AH411" s="171"/>
      <c r="AI411" s="171"/>
      <c r="AJ411" s="171"/>
      <c r="AK411" s="171"/>
    </row>
    <row r="412" spans="1:37" s="5" customFormat="1" x14ac:dyDescent="0.25">
      <c r="B412" s="66"/>
      <c r="D412" s="5" t="s">
        <v>985</v>
      </c>
    </row>
    <row r="413" spans="1:37" s="5" customFormat="1" x14ac:dyDescent="0.25">
      <c r="A413" s="5" t="s">
        <v>980</v>
      </c>
      <c r="B413" s="66" t="s">
        <v>18</v>
      </c>
      <c r="E413" s="5" t="s">
        <v>983</v>
      </c>
      <c r="I413" s="171">
        <f>Datasheet!I392</f>
        <v>13378.416666666666</v>
      </c>
      <c r="J413" s="171">
        <f>Datasheet!J392</f>
        <v>13232.916666666666</v>
      </c>
      <c r="K413" s="171">
        <f>Datasheet!K392</f>
        <v>13291.083333333334</v>
      </c>
      <c r="L413" s="171">
        <f>Datasheet!L392</f>
        <v>13343.666666666666</v>
      </c>
      <c r="M413" s="171">
        <f>Datasheet!M392</f>
        <v>13576.75</v>
      </c>
      <c r="N413" s="171">
        <f>Datasheet!N392</f>
        <v>14058</v>
      </c>
      <c r="O413" s="171">
        <f>Datasheet!O392</f>
        <v>14036.416666666666</v>
      </c>
      <c r="P413" s="171">
        <f>Datasheet!P392</f>
        <v>12917.416666666666</v>
      </c>
      <c r="Q413" s="171">
        <f>Datasheet!Q392</f>
        <v>12569.333333333334</v>
      </c>
      <c r="R413" s="171">
        <f>Datasheet!R392</f>
        <v>12613.666666666666</v>
      </c>
      <c r="S413" s="171">
        <f>Datasheet!S392</f>
        <v>12880.75</v>
      </c>
      <c r="T413" s="171">
        <f>Datasheet!T392</f>
        <v>13318</v>
      </c>
      <c r="U413" s="171">
        <f>Datasheet!U392</f>
        <v>13751.166666666666</v>
      </c>
      <c r="V413" s="171">
        <f>Datasheet!V392</f>
        <v>14118.5</v>
      </c>
      <c r="W413" s="171">
        <f>Datasheet!W392</f>
        <v>14708.25</v>
      </c>
      <c r="X413" s="171">
        <f>Datasheet!X392</f>
        <v>14993.583333333334</v>
      </c>
      <c r="Y413" s="171">
        <f>Datasheet!Y392</f>
        <v>14958.833333333334</v>
      </c>
      <c r="Z413" s="171">
        <f>Datasheet!Z392</f>
        <v>15151.416666666666</v>
      </c>
      <c r="AA413" s="171">
        <f>Datasheet!AA392</f>
        <v>13667</v>
      </c>
      <c r="AB413" s="171" t="e">
        <f>Datasheet!AB392</f>
        <v>#DIV/0!</v>
      </c>
      <c r="AC413" s="171" t="e">
        <f>Datasheet!AC392</f>
        <v>#DIV/0!</v>
      </c>
      <c r="AD413" s="171" t="e">
        <f>Datasheet!AD392</f>
        <v>#DIV/0!</v>
      </c>
      <c r="AE413" s="171" t="e">
        <f>Datasheet!AE392</f>
        <v>#DIV/0!</v>
      </c>
      <c r="AF413" s="171" t="e">
        <f>Datasheet!AF392</f>
        <v>#DIV/0!</v>
      </c>
      <c r="AG413" s="171" t="e">
        <f>Datasheet!AG392</f>
        <v>#DIV/0!</v>
      </c>
      <c r="AH413" s="171" t="e">
        <f>Datasheet!AH392</f>
        <v>#DIV/0!</v>
      </c>
      <c r="AI413" s="171" t="e">
        <f>Datasheet!AI392</f>
        <v>#DIV/0!</v>
      </c>
      <c r="AJ413" s="171" t="e">
        <f>Datasheet!AJ392</f>
        <v>#DIV/0!</v>
      </c>
      <c r="AK413" s="171" t="e">
        <f>Datasheet!AK392</f>
        <v>#DIV/0!</v>
      </c>
    </row>
    <row r="414" spans="1:37" s="186" customFormat="1" x14ac:dyDescent="0.25">
      <c r="A414" s="191" t="s">
        <v>981</v>
      </c>
      <c r="B414" s="182" t="s">
        <v>18</v>
      </c>
      <c r="E414" s="129" t="s">
        <v>984</v>
      </c>
      <c r="I414" s="189"/>
      <c r="J414" s="189"/>
      <c r="K414" s="189"/>
      <c r="L414" s="189"/>
      <c r="M414" s="189"/>
      <c r="N414" s="189"/>
      <c r="O414" s="189"/>
      <c r="P414" s="189"/>
      <c r="Q414" s="188">
        <f>Datasheet!Q705</f>
        <v>12322</v>
      </c>
      <c r="R414" s="188">
        <f>Datasheet!R705</f>
        <v>12982</v>
      </c>
      <c r="S414" s="188">
        <f>Datasheet!S705</f>
        <v>12701</v>
      </c>
      <c r="T414" s="188">
        <f>Datasheet!T705</f>
        <v>13246</v>
      </c>
      <c r="U414" s="188">
        <f>Datasheet!U705</f>
        <v>13381</v>
      </c>
      <c r="V414" s="188">
        <f>Datasheet!V705</f>
        <v>13843</v>
      </c>
      <c r="W414" s="188">
        <f>Datasheet!W705</f>
        <v>14008</v>
      </c>
      <c r="X414" s="188">
        <f>Datasheet!X705</f>
        <v>14152</v>
      </c>
      <c r="Y414" s="188">
        <f>Datasheet!Y705</f>
        <v>14035</v>
      </c>
      <c r="Z414" s="188">
        <f>Datasheet!Z705</f>
        <v>14096</v>
      </c>
      <c r="AA414" s="188">
        <f>Datasheet!AA705</f>
        <v>0</v>
      </c>
      <c r="AB414" s="188">
        <f>Datasheet!AB705</f>
        <v>0</v>
      </c>
      <c r="AC414" s="188">
        <f>Datasheet!AC705</f>
        <v>0</v>
      </c>
      <c r="AD414" s="188">
        <f>Datasheet!AD705</f>
        <v>0</v>
      </c>
      <c r="AE414" s="188">
        <f>Datasheet!AE705</f>
        <v>0</v>
      </c>
      <c r="AF414" s="189"/>
      <c r="AG414" s="189"/>
      <c r="AH414" s="189"/>
      <c r="AI414" s="189"/>
      <c r="AJ414" s="189"/>
      <c r="AK414" s="189"/>
    </row>
    <row r="415" spans="1:37" s="186" customFormat="1" x14ac:dyDescent="0.25">
      <c r="B415" s="182"/>
      <c r="E415" s="129"/>
      <c r="F415" s="186" t="s">
        <v>979</v>
      </c>
      <c r="I415" s="189"/>
      <c r="J415" s="189"/>
      <c r="K415" s="189"/>
      <c r="L415" s="189"/>
      <c r="M415" s="189"/>
      <c r="N415" s="189"/>
      <c r="O415" s="189"/>
      <c r="P415" s="189"/>
      <c r="Q415" s="187">
        <f t="shared" ref="Q415:AK415" si="33">Q413/Q414</f>
        <v>1.020072499053184</v>
      </c>
      <c r="R415" s="187">
        <f t="shared" si="33"/>
        <v>0.97162738150259331</v>
      </c>
      <c r="S415" s="187">
        <f t="shared" si="33"/>
        <v>1.0141524289426029</v>
      </c>
      <c r="T415" s="187">
        <f t="shared" si="33"/>
        <v>1.0054356032009664</v>
      </c>
      <c r="U415" s="187">
        <f t="shared" si="33"/>
        <v>1.0276636026206312</v>
      </c>
      <c r="V415" s="187">
        <f t="shared" si="33"/>
        <v>1.0199017553998411</v>
      </c>
      <c r="W415" s="187">
        <f t="shared" si="33"/>
        <v>1.0499892918332381</v>
      </c>
      <c r="X415" s="187">
        <f t="shared" si="33"/>
        <v>1.0594674486527229</v>
      </c>
      <c r="Y415" s="187">
        <f t="shared" si="33"/>
        <v>1.0658235363971025</v>
      </c>
      <c r="Z415" s="187">
        <f t="shared" si="33"/>
        <v>1.0748734865682936</v>
      </c>
      <c r="AA415" s="187" t="e">
        <f t="shared" si="33"/>
        <v>#DIV/0!</v>
      </c>
      <c r="AB415" s="187" t="e">
        <f t="shared" si="33"/>
        <v>#DIV/0!</v>
      </c>
      <c r="AC415" s="187" t="e">
        <f t="shared" si="33"/>
        <v>#DIV/0!</v>
      </c>
      <c r="AD415" s="187" t="e">
        <f t="shared" si="33"/>
        <v>#DIV/0!</v>
      </c>
      <c r="AE415" s="187" t="e">
        <f t="shared" si="33"/>
        <v>#DIV/0!</v>
      </c>
      <c r="AF415" s="187" t="e">
        <f t="shared" si="33"/>
        <v>#DIV/0!</v>
      </c>
      <c r="AG415" s="187" t="e">
        <f t="shared" si="33"/>
        <v>#DIV/0!</v>
      </c>
      <c r="AH415" s="187" t="e">
        <f t="shared" si="33"/>
        <v>#DIV/0!</v>
      </c>
      <c r="AI415" s="187" t="e">
        <f t="shared" si="33"/>
        <v>#DIV/0!</v>
      </c>
      <c r="AJ415" s="187" t="e">
        <f t="shared" si="33"/>
        <v>#DIV/0!</v>
      </c>
      <c r="AK415" s="187" t="e">
        <f t="shared" si="33"/>
        <v>#DIV/0!</v>
      </c>
    </row>
    <row r="416" spans="1:37" s="9" customFormat="1" x14ac:dyDescent="0.25">
      <c r="B416" s="243"/>
      <c r="C416" s="235"/>
      <c r="E416" s="2" t="s">
        <v>1243</v>
      </c>
      <c r="H416" s="9" t="s">
        <v>1025</v>
      </c>
      <c r="I416" s="171">
        <f>IF(I419&gt;0,I419,IF(I417&gt;0,I417,IF(H417&gt;0,H417*I413/H413,#REF!*I413/#REF!)))</f>
        <v>7595.5834174540569</v>
      </c>
      <c r="J416" s="171">
        <f t="shared" ref="J416:AK416" si="34">IF(J419&gt;0,J419,IF(J417&gt;0,J417,IF(I417&gt;0,I417*J413/I413,H417*J413/H413)))</f>
        <v>7512.9759299781172</v>
      </c>
      <c r="K416" s="171">
        <f t="shared" si="34"/>
        <v>7546</v>
      </c>
      <c r="L416" s="171">
        <f t="shared" si="34"/>
        <v>7523</v>
      </c>
      <c r="M416" s="171">
        <f t="shared" si="34"/>
        <v>7772</v>
      </c>
      <c r="N416" s="171">
        <f t="shared" si="34"/>
        <v>8095</v>
      </c>
      <c r="O416" s="171">
        <f t="shared" si="34"/>
        <v>7931</v>
      </c>
      <c r="P416" s="171">
        <f t="shared" si="34"/>
        <v>7298.7311517065727</v>
      </c>
      <c r="Q416" s="171">
        <f t="shared" si="34"/>
        <v>7102.0535393054979</v>
      </c>
      <c r="R416" s="171">
        <f t="shared" si="34"/>
        <v>7127.1032136644571</v>
      </c>
      <c r="S416" s="171">
        <f t="shared" si="34"/>
        <v>7278.0133759209684</v>
      </c>
      <c r="T416" s="171">
        <f t="shared" si="34"/>
        <v>7525.0728521643123</v>
      </c>
      <c r="U416" s="171">
        <f t="shared" si="34"/>
        <v>7769.8251215588034</v>
      </c>
      <c r="V416" s="171">
        <f t="shared" si="34"/>
        <v>8221</v>
      </c>
      <c r="W416" s="171">
        <f t="shared" si="34"/>
        <v>8276</v>
      </c>
      <c r="X416" s="171">
        <f t="shared" si="34"/>
        <v>8329</v>
      </c>
      <c r="Y416" s="171">
        <f t="shared" si="34"/>
        <v>8404</v>
      </c>
      <c r="Z416" s="171">
        <f t="shared" si="34"/>
        <v>8512.1949572716221</v>
      </c>
      <c r="AA416" s="171">
        <f t="shared" si="34"/>
        <v>7678.2370282887478</v>
      </c>
      <c r="AB416" s="171" t="e">
        <f t="shared" si="34"/>
        <v>#DIV/0!</v>
      </c>
      <c r="AC416" s="171" t="e">
        <f t="shared" si="34"/>
        <v>#DIV/0!</v>
      </c>
      <c r="AD416" s="171" t="e">
        <f t="shared" si="34"/>
        <v>#DIV/0!</v>
      </c>
      <c r="AE416" s="171" t="e">
        <f t="shared" si="34"/>
        <v>#DIV/0!</v>
      </c>
      <c r="AF416" s="171" t="e">
        <f t="shared" si="34"/>
        <v>#DIV/0!</v>
      </c>
      <c r="AG416" s="171" t="e">
        <f t="shared" si="34"/>
        <v>#DIV/0!</v>
      </c>
      <c r="AH416" s="171" t="e">
        <f t="shared" si="34"/>
        <v>#DIV/0!</v>
      </c>
      <c r="AI416" s="171" t="e">
        <f t="shared" si="34"/>
        <v>#DIV/0!</v>
      </c>
      <c r="AJ416" s="171" t="e">
        <f t="shared" si="34"/>
        <v>#DIV/0!</v>
      </c>
      <c r="AK416" s="171" t="e">
        <f t="shared" si="34"/>
        <v>#DIV/0!</v>
      </c>
    </row>
    <row r="417" spans="1:37" s="5" customFormat="1" x14ac:dyDescent="0.25">
      <c r="A417" s="5" t="s">
        <v>990</v>
      </c>
      <c r="B417" s="192" t="s">
        <v>18</v>
      </c>
      <c r="C417" s="2"/>
      <c r="F417" s="2" t="s">
        <v>1241</v>
      </c>
      <c r="H417" s="5" t="s">
        <v>1025</v>
      </c>
      <c r="I417" s="171">
        <f>Datasheet!I558</f>
        <v>6333</v>
      </c>
      <c r="J417" s="171">
        <f>Datasheet!J558</f>
        <v>6846</v>
      </c>
      <c r="K417" s="171">
        <f>Datasheet!K558</f>
        <v>7546</v>
      </c>
      <c r="L417" s="171">
        <f>Datasheet!L558</f>
        <v>7523</v>
      </c>
      <c r="M417" s="171">
        <f>Datasheet!M558</f>
        <v>7772</v>
      </c>
      <c r="N417" s="171">
        <f>Datasheet!N558</f>
        <v>8095</v>
      </c>
      <c r="O417" s="171">
        <f>Datasheet!O558</f>
        <v>7931</v>
      </c>
      <c r="P417" s="171">
        <f>Datasheet!P558</f>
        <v>9936</v>
      </c>
      <c r="Q417" s="171">
        <f>Datasheet!Q558</f>
        <v>9663</v>
      </c>
      <c r="R417" s="171">
        <f>Datasheet!R558</f>
        <v>8544</v>
      </c>
      <c r="S417" s="171">
        <f>Datasheet!S558</f>
        <v>8975</v>
      </c>
      <c r="T417" s="171">
        <f>Datasheet!T558</f>
        <v>8944</v>
      </c>
      <c r="U417" s="171">
        <f>Datasheet!U558</f>
        <v>9689</v>
      </c>
      <c r="V417" s="171">
        <f>Datasheet!V558</f>
        <v>8221</v>
      </c>
      <c r="W417" s="171">
        <f>Datasheet!W558</f>
        <v>8276</v>
      </c>
      <c r="X417" s="171">
        <f>Datasheet!X558</f>
        <v>8329</v>
      </c>
      <c r="Y417" s="171">
        <f>Datasheet!Y558</f>
        <v>8404</v>
      </c>
      <c r="Z417" s="171">
        <f>Datasheet!Z558</f>
        <v>0</v>
      </c>
      <c r="AA417" s="171">
        <f>Datasheet!AA558</f>
        <v>0</v>
      </c>
      <c r="AB417" s="171">
        <f>Datasheet!AB558</f>
        <v>0</v>
      </c>
      <c r="AC417" s="171">
        <f>Datasheet!AC558</f>
        <v>0</v>
      </c>
      <c r="AD417" s="171">
        <f>Datasheet!AD558</f>
        <v>0</v>
      </c>
      <c r="AE417" s="171">
        <f>Datasheet!AE558</f>
        <v>0</v>
      </c>
      <c r="AF417" s="171">
        <f>Datasheet!AF558</f>
        <v>0</v>
      </c>
      <c r="AG417" s="171">
        <f>Datasheet!AG558</f>
        <v>0</v>
      </c>
      <c r="AH417" s="171">
        <f>Datasheet!AH558</f>
        <v>0</v>
      </c>
      <c r="AI417" s="171">
        <f>Datasheet!AI558</f>
        <v>0</v>
      </c>
      <c r="AJ417" s="171">
        <f>Datasheet!AJ558</f>
        <v>0</v>
      </c>
      <c r="AK417" s="171">
        <f>Datasheet!AK558</f>
        <v>0</v>
      </c>
    </row>
    <row r="418" spans="1:37" s="186" customFormat="1" x14ac:dyDescent="0.25">
      <c r="A418" s="129" t="s">
        <v>1590</v>
      </c>
      <c r="B418" s="182" t="s">
        <v>18</v>
      </c>
      <c r="E418" s="129"/>
      <c r="F418" s="186" t="s">
        <v>802</v>
      </c>
      <c r="I418" s="234">
        <f t="shared" ref="I418:AK418" si="35">I417/I413</f>
        <v>0.47337440280053072</v>
      </c>
      <c r="J418" s="234">
        <f t="shared" si="35"/>
        <v>0.51734626405113515</v>
      </c>
      <c r="K418" s="189">
        <f t="shared" si="35"/>
        <v>0.56774905481745275</v>
      </c>
      <c r="L418" s="189">
        <f t="shared" si="35"/>
        <v>0.56378806425020611</v>
      </c>
      <c r="M418" s="189">
        <f t="shared" si="35"/>
        <v>0.5724492238569614</v>
      </c>
      <c r="N418" s="189">
        <f t="shared" si="35"/>
        <v>0.57582870963152655</v>
      </c>
      <c r="O418" s="189">
        <f t="shared" si="35"/>
        <v>0.56503024869832641</v>
      </c>
      <c r="P418" s="234">
        <f t="shared" si="35"/>
        <v>0.76919404679728276</v>
      </c>
      <c r="Q418" s="234">
        <f t="shared" si="35"/>
        <v>0.76877585658215764</v>
      </c>
      <c r="R418" s="234">
        <f t="shared" si="35"/>
        <v>0.67736053486958592</v>
      </c>
      <c r="S418" s="234">
        <f t="shared" si="35"/>
        <v>0.69677619703821592</v>
      </c>
      <c r="T418" s="234">
        <f t="shared" si="35"/>
        <v>0.67157230815437752</v>
      </c>
      <c r="U418" s="234">
        <f t="shared" si="35"/>
        <v>0.70459476165658674</v>
      </c>
      <c r="V418" s="189">
        <f t="shared" si="35"/>
        <v>0.58228565357509654</v>
      </c>
      <c r="W418" s="189">
        <f t="shared" si="35"/>
        <v>0.56267740893716112</v>
      </c>
      <c r="X418" s="189">
        <f t="shared" si="35"/>
        <v>0.55550429906126508</v>
      </c>
      <c r="Y418" s="189">
        <f t="shared" si="35"/>
        <v>0.56180851893530015</v>
      </c>
      <c r="Z418" s="189">
        <f t="shared" si="35"/>
        <v>0</v>
      </c>
      <c r="AA418" s="189">
        <f t="shared" si="35"/>
        <v>0</v>
      </c>
      <c r="AB418" s="189" t="e">
        <f t="shared" si="35"/>
        <v>#DIV/0!</v>
      </c>
      <c r="AC418" s="189" t="e">
        <f t="shared" si="35"/>
        <v>#DIV/0!</v>
      </c>
      <c r="AD418" s="189" t="e">
        <f t="shared" si="35"/>
        <v>#DIV/0!</v>
      </c>
      <c r="AE418" s="189" t="e">
        <f t="shared" si="35"/>
        <v>#DIV/0!</v>
      </c>
      <c r="AF418" s="189" t="e">
        <f t="shared" si="35"/>
        <v>#DIV/0!</v>
      </c>
      <c r="AG418" s="189" t="e">
        <f t="shared" si="35"/>
        <v>#DIV/0!</v>
      </c>
      <c r="AH418" s="189" t="e">
        <f t="shared" si="35"/>
        <v>#DIV/0!</v>
      </c>
      <c r="AI418" s="189" t="e">
        <f t="shared" si="35"/>
        <v>#DIV/0!</v>
      </c>
      <c r="AJ418" s="189" t="e">
        <f t="shared" si="35"/>
        <v>#DIV/0!</v>
      </c>
      <c r="AK418" s="189" t="e">
        <f t="shared" si="35"/>
        <v>#DIV/0!</v>
      </c>
    </row>
    <row r="419" spans="1:37" s="5" customFormat="1" x14ac:dyDescent="0.25">
      <c r="A419" s="5" t="s">
        <v>982</v>
      </c>
      <c r="B419" s="66" t="s">
        <v>18</v>
      </c>
      <c r="E419" s="2"/>
      <c r="F419" s="5" t="s">
        <v>996</v>
      </c>
      <c r="H419" s="5" t="s">
        <v>1025</v>
      </c>
      <c r="I419" s="171">
        <f>K417*I413/K413</f>
        <v>7595.5834174540569</v>
      </c>
      <c r="J419" s="171">
        <f>K417*J413/K413</f>
        <v>7512.9759299781172</v>
      </c>
      <c r="K419" s="171"/>
      <c r="L419" s="171"/>
      <c r="M419" s="171"/>
      <c r="N419" s="171"/>
      <c r="O419" s="171"/>
      <c r="P419" s="171">
        <f>O417*P413/O413</f>
        <v>7298.7311517065727</v>
      </c>
      <c r="Q419" s="171">
        <f>P419*Q413/P413</f>
        <v>7102.0535393054979</v>
      </c>
      <c r="R419" s="171">
        <f>Q419*R413/Q413</f>
        <v>7127.1032136644571</v>
      </c>
      <c r="S419" s="171">
        <f>R419*S413/R413</f>
        <v>7278.0133759209684</v>
      </c>
      <c r="T419" s="171">
        <f>S419*T413/S413</f>
        <v>7525.0728521643123</v>
      </c>
      <c r="U419" s="171">
        <f>T419*U413/T413</f>
        <v>7769.8251215588034</v>
      </c>
      <c r="V419" s="171"/>
      <c r="W419" s="171"/>
      <c r="X419" s="171"/>
      <c r="Y419" s="171"/>
      <c r="Z419" s="171"/>
      <c r="AA419" s="171"/>
      <c r="AB419" s="171"/>
      <c r="AC419" s="171"/>
      <c r="AD419" s="171"/>
      <c r="AE419" s="171"/>
      <c r="AF419" s="171"/>
      <c r="AG419" s="171"/>
      <c r="AH419" s="171"/>
      <c r="AI419" s="171"/>
      <c r="AJ419" s="171"/>
      <c r="AK419" s="171"/>
    </row>
    <row r="420" spans="1:37" s="13" customFormat="1" x14ac:dyDescent="0.25">
      <c r="D420" s="15" t="s">
        <v>803</v>
      </c>
      <c r="E420" s="72"/>
      <c r="F420" s="72"/>
      <c r="G420" s="72"/>
      <c r="H420" s="72" t="s">
        <v>1025</v>
      </c>
      <c r="I420" s="185">
        <f t="shared" ref="I420:AK420" si="36">I416*I421</f>
        <v>476.14821044201165</v>
      </c>
      <c r="J420" s="185">
        <f t="shared" si="36"/>
        <v>468.60074818881924</v>
      </c>
      <c r="K420" s="185">
        <f t="shared" si="36"/>
        <v>431.00000000000017</v>
      </c>
      <c r="L420" s="185">
        <f t="shared" si="36"/>
        <v>430.00000000000006</v>
      </c>
      <c r="M420" s="185">
        <f t="shared" si="36"/>
        <v>421.0000000000004</v>
      </c>
      <c r="N420" s="185">
        <f t="shared" si="36"/>
        <v>934.00000000000011</v>
      </c>
      <c r="O420" s="185">
        <f t="shared" si="36"/>
        <v>953.00000000000034</v>
      </c>
      <c r="P420" s="185">
        <f t="shared" si="36"/>
        <v>880.0201207472295</v>
      </c>
      <c r="Q420" s="185">
        <f t="shared" si="36"/>
        <v>966.49077969437326</v>
      </c>
      <c r="R420" s="185">
        <f t="shared" si="36"/>
        <v>955.11858376004284</v>
      </c>
      <c r="S420" s="185">
        <f t="shared" si="36"/>
        <v>1132.0453117309944</v>
      </c>
      <c r="T420" s="185">
        <f t="shared" si="36"/>
        <v>1169.4824759065734</v>
      </c>
      <c r="U420" s="185">
        <f t="shared" si="36"/>
        <v>1331.1910106086914</v>
      </c>
      <c r="V420" s="185">
        <f t="shared" si="36"/>
        <v>1329</v>
      </c>
      <c r="W420" s="185">
        <f t="shared" si="36"/>
        <v>1301.9999999999998</v>
      </c>
      <c r="X420" s="185">
        <f t="shared" si="36"/>
        <v>1386.0000000000002</v>
      </c>
      <c r="Y420" s="185">
        <f t="shared" si="36"/>
        <v>1794.9999999999998</v>
      </c>
      <c r="Z420" s="185">
        <f t="shared" si="36"/>
        <v>1382.598091293165</v>
      </c>
      <c r="AA420" s="185">
        <f t="shared" si="36"/>
        <v>1336.4818497471342</v>
      </c>
      <c r="AB420" s="185" t="e">
        <f t="shared" si="36"/>
        <v>#DIV/0!</v>
      </c>
      <c r="AC420" s="185" t="e">
        <f t="shared" si="36"/>
        <v>#DIV/0!</v>
      </c>
      <c r="AD420" s="185" t="e">
        <f t="shared" si="36"/>
        <v>#DIV/0!</v>
      </c>
      <c r="AE420" s="185" t="e">
        <f t="shared" si="36"/>
        <v>#DIV/0!</v>
      </c>
      <c r="AF420" s="185" t="e">
        <f t="shared" si="36"/>
        <v>#DIV/0!</v>
      </c>
      <c r="AG420" s="185" t="e">
        <f t="shared" si="36"/>
        <v>#DIV/0!</v>
      </c>
      <c r="AH420" s="185" t="e">
        <f t="shared" si="36"/>
        <v>#DIV/0!</v>
      </c>
      <c r="AI420" s="185" t="e">
        <f t="shared" si="36"/>
        <v>#DIV/0!</v>
      </c>
      <c r="AJ420" s="185" t="e">
        <f t="shared" si="36"/>
        <v>#DIV/0!</v>
      </c>
      <c r="AK420" s="185" t="e">
        <f t="shared" si="36"/>
        <v>#DIV/0!</v>
      </c>
    </row>
    <row r="421" spans="1:37" s="5" customFormat="1" x14ac:dyDescent="0.25">
      <c r="B421" s="192"/>
      <c r="C421" s="241"/>
      <c r="F421" s="2" t="s">
        <v>806</v>
      </c>
      <c r="I421" s="170">
        <f>IFERROR(1-Datasheet!I559/Datasheet!I558,IFERROR(AVERAGE(C421:G421),AVERAGE(B421:F421)))</f>
        <v>6.268750986894045E-2</v>
      </c>
      <c r="J421" s="170">
        <f>IFERROR(1-Datasheet!J559/Datasheet!J558,IFERROR(AVERAGE(D421:H421),AVERAGE(C421:G421)))</f>
        <v>6.2372188139059315E-2</v>
      </c>
      <c r="K421" s="170">
        <f>IFERROR(1-Datasheet!K559/Datasheet!K558,IFERROR(AVERAGE(E421:I421),AVERAGE(D421:H421)))</f>
        <v>5.7116353034720402E-2</v>
      </c>
      <c r="L421" s="170">
        <f>IFERROR(1-Datasheet!L559/Datasheet!L558,IFERROR(AVERAGE(F421:J421),AVERAGE(E421:I421)))</f>
        <v>5.7158048650804205E-2</v>
      </c>
      <c r="M421" s="170">
        <f>IFERROR(1-Datasheet!M559/Datasheet!M558,IFERROR(AVERAGE(G421:K421),AVERAGE(F421:J421)))</f>
        <v>5.4168811116829696E-2</v>
      </c>
      <c r="N421" s="170">
        <f>IFERROR(1-Datasheet!N559/Datasheet!N558,IFERROR(AVERAGE(H421:L421),AVERAGE(G421:K421)))</f>
        <v>0.11537986411365042</v>
      </c>
      <c r="O421" s="170">
        <f>IFERROR(1-Datasheet!O559/Datasheet!O558,IFERROR(AVERAGE(I421:M421),AVERAGE(H421:L421)))</f>
        <v>0.12016139200605225</v>
      </c>
      <c r="P421" s="170">
        <f>IFERROR(1-Datasheet!P559/Datasheet!P558,IFERROR(AVERAGE(J421:N421),AVERAGE(I421:M421)))</f>
        <v>0.12057165861513686</v>
      </c>
      <c r="Q421" s="170">
        <f>IFERROR(1-Datasheet!Q559/Datasheet!Q558,IFERROR(AVERAGE(K421:O421),AVERAGE(J421:N421)))</f>
        <v>0.13608610162475421</v>
      </c>
      <c r="R421" s="170">
        <f>IFERROR(1-Datasheet!R559/Datasheet!R558,IFERROR(AVERAGE(L421:P421),AVERAGE(K421:O421)))</f>
        <v>0.13401217228464424</v>
      </c>
      <c r="S421" s="170">
        <f>IFERROR(1-Datasheet!S559/Datasheet!S558,IFERROR(AVERAGE(M421:Q421),AVERAGE(L421:P421)))</f>
        <v>0.15554317548746521</v>
      </c>
      <c r="T421" s="170">
        <f>IFERROR(1-Datasheet!T559/Datasheet!T558,IFERROR(AVERAGE(N421:R421),AVERAGE(M421:Q421)))</f>
        <v>0.15541144901610016</v>
      </c>
      <c r="U421" s="170">
        <f>IFERROR(1-Datasheet!U559/Datasheet!U558,IFERROR(AVERAGE(O421:S421),AVERAGE(N421:R421)))</f>
        <v>0.17132831045515529</v>
      </c>
      <c r="V421" s="170">
        <f>IFERROR(1-Datasheet!V559/Datasheet!V558,IFERROR(AVERAGE(P421:T421),AVERAGE(O421:S421)))</f>
        <v>0.16165916555163606</v>
      </c>
      <c r="W421" s="170">
        <f>IFERROR(1-Datasheet!W559/Datasheet!W558,IFERROR(AVERAGE(Q421:U421),AVERAGE(P421:T421)))</f>
        <v>0.1573223779603673</v>
      </c>
      <c r="X421" s="170">
        <f>IFERROR(1-Datasheet!X559/Datasheet!X558,IFERROR(AVERAGE(R421:V421),AVERAGE(Q421:U421)))</f>
        <v>0.16640653139632611</v>
      </c>
      <c r="Y421" s="170">
        <f>IFERROR(1-Datasheet!Y559/Datasheet!Y558,IFERROR(AVERAGE(S421:W421),AVERAGE(R421:V421)))</f>
        <v>0.21358876725368869</v>
      </c>
      <c r="Z421" s="170">
        <f>IFERROR(1-Datasheet!Z559/Datasheet!Z558,IFERROR(AVERAGE(T421:X421),AVERAGE(S421:W421)))</f>
        <v>0.16242556687591697</v>
      </c>
      <c r="AA421" s="170">
        <f>IFERROR(1-Datasheet!AA559/Datasheet!AA558,IFERROR(AVERAGE(U421:Y421),AVERAGE(T421:X421)))</f>
        <v>0.17406103052343469</v>
      </c>
      <c r="AB421" s="170">
        <f>IFERROR(1-Datasheet!AB559/Datasheet!AB558,IFERROR(AVERAGE(V421:Z421),AVERAGE(U421:Y421)))</f>
        <v>0.17228048180758701</v>
      </c>
      <c r="AC421" s="170">
        <f>IFERROR(1-Datasheet!AC559/Datasheet!AC558,IFERROR(AVERAGE(W421:AA421),AVERAGE(V421:Z421)))</f>
        <v>0.17476085480194675</v>
      </c>
      <c r="AD421" s="170">
        <f>IFERROR(1-Datasheet!AD559/Datasheet!AD558,IFERROR(AVERAGE(X421:AB421),AVERAGE(W421:AA421)))</f>
        <v>0.17775247557139068</v>
      </c>
      <c r="AE421" s="170">
        <f>IFERROR(1-Datasheet!AE559/Datasheet!AE558,IFERROR(AVERAGE(Y421:AC421),AVERAGE(X421:AB421)))</f>
        <v>0.1794233402525148</v>
      </c>
      <c r="AF421" s="170">
        <f>IFERROR(1-Datasheet!AF559/Datasheet!AF558,IFERROR(AVERAGE(Z421:AD421),AVERAGE(Y421:AC421)))</f>
        <v>0.17225608191605518</v>
      </c>
      <c r="AG421" s="170">
        <f>IFERROR(1-Datasheet!AG559/Datasheet!AG558,IFERROR(AVERAGE(AA421:AE421),AVERAGE(Z421:AD421)))</f>
        <v>0.17565563659137479</v>
      </c>
      <c r="AH421" s="170">
        <f>IFERROR(1-Datasheet!AH559/Datasheet!AH558,IFERROR(AVERAGE(AB421:AF421),AVERAGE(AA421:AE421)))</f>
        <v>0.17529464686989887</v>
      </c>
      <c r="AI421" s="170">
        <f>IFERROR(1-Datasheet!AI559/Datasheet!AI558,IFERROR(AVERAGE(AC421:AG421),AVERAGE(AB421:AF421)))</f>
        <v>0.17596967782665646</v>
      </c>
      <c r="AJ421" s="170">
        <f>IFERROR(1-Datasheet!AJ559/Datasheet!AJ558,IFERROR(AVERAGE(AD421:AH421),AVERAGE(AC421:AG421)))</f>
        <v>0.17607643624024685</v>
      </c>
      <c r="AK421" s="170">
        <f>IFERROR(1-Datasheet!AK559/Datasheet!AK558,IFERROR(AVERAGE(AE421:AI421),AVERAGE(AD421:AH421)))</f>
        <v>0.17571987669130001</v>
      </c>
    </row>
    <row r="422" spans="1:37" s="13" customFormat="1" x14ac:dyDescent="0.25">
      <c r="D422" s="15" t="s">
        <v>1591</v>
      </c>
      <c r="E422" s="72"/>
      <c r="F422" s="72"/>
      <c r="G422" s="72"/>
      <c r="H422" s="72" t="s">
        <v>1025</v>
      </c>
      <c r="I422" s="185">
        <f t="shared" ref="I422:AK422" si="37">I416-I420</f>
        <v>7119.4352070120449</v>
      </c>
      <c r="J422" s="185">
        <f t="shared" si="37"/>
        <v>7044.375181789298</v>
      </c>
      <c r="K422" s="185">
        <f t="shared" si="37"/>
        <v>7115</v>
      </c>
      <c r="L422" s="185">
        <f t="shared" si="37"/>
        <v>7093</v>
      </c>
      <c r="M422" s="185">
        <f t="shared" si="37"/>
        <v>7351</v>
      </c>
      <c r="N422" s="185">
        <f t="shared" si="37"/>
        <v>7161</v>
      </c>
      <c r="O422" s="185">
        <f t="shared" si="37"/>
        <v>6978</v>
      </c>
      <c r="P422" s="185">
        <f t="shared" si="37"/>
        <v>6418.7110309593436</v>
      </c>
      <c r="Q422" s="185">
        <f t="shared" si="37"/>
        <v>6135.5627596111244</v>
      </c>
      <c r="R422" s="185">
        <f t="shared" si="37"/>
        <v>6171.9846299044148</v>
      </c>
      <c r="S422" s="185">
        <f t="shared" si="37"/>
        <v>6145.968064189974</v>
      </c>
      <c r="T422" s="185">
        <f t="shared" si="37"/>
        <v>6355.5903762577391</v>
      </c>
      <c r="U422" s="185">
        <f t="shared" si="37"/>
        <v>6438.6341109501118</v>
      </c>
      <c r="V422" s="185">
        <f t="shared" si="37"/>
        <v>6892</v>
      </c>
      <c r="W422" s="185">
        <f t="shared" si="37"/>
        <v>6974</v>
      </c>
      <c r="X422" s="185">
        <f t="shared" si="37"/>
        <v>6943</v>
      </c>
      <c r="Y422" s="185">
        <f t="shared" si="37"/>
        <v>6609</v>
      </c>
      <c r="Z422" s="185">
        <f t="shared" si="37"/>
        <v>7129.5968659784576</v>
      </c>
      <c r="AA422" s="185">
        <f t="shared" si="37"/>
        <v>6341.7551785416135</v>
      </c>
      <c r="AB422" s="185" t="e">
        <f t="shared" si="37"/>
        <v>#DIV/0!</v>
      </c>
      <c r="AC422" s="185" t="e">
        <f t="shared" si="37"/>
        <v>#DIV/0!</v>
      </c>
      <c r="AD422" s="185" t="e">
        <f t="shared" si="37"/>
        <v>#DIV/0!</v>
      </c>
      <c r="AE422" s="185" t="e">
        <f t="shared" si="37"/>
        <v>#DIV/0!</v>
      </c>
      <c r="AF422" s="185" t="e">
        <f t="shared" si="37"/>
        <v>#DIV/0!</v>
      </c>
      <c r="AG422" s="185" t="e">
        <f t="shared" si="37"/>
        <v>#DIV/0!</v>
      </c>
      <c r="AH422" s="185" t="e">
        <f t="shared" si="37"/>
        <v>#DIV/0!</v>
      </c>
      <c r="AI422" s="185" t="e">
        <f t="shared" si="37"/>
        <v>#DIV/0!</v>
      </c>
      <c r="AJ422" s="185" t="e">
        <f t="shared" si="37"/>
        <v>#DIV/0!</v>
      </c>
      <c r="AK422" s="185" t="e">
        <f t="shared" si="37"/>
        <v>#DIV/0!</v>
      </c>
    </row>
    <row r="423" spans="1:37" s="13" customFormat="1" x14ac:dyDescent="0.25">
      <c r="D423" s="15" t="s">
        <v>1242</v>
      </c>
      <c r="E423" s="72"/>
      <c r="F423" s="72"/>
      <c r="G423" s="72"/>
      <c r="H423" s="72" t="s">
        <v>1025</v>
      </c>
      <c r="I423" s="185">
        <f>(Datasheet!I369/I$395-1)*I$416</f>
        <v>1783.4961901595016</v>
      </c>
      <c r="J423" s="185">
        <f>(Datasheet!J369/J$395-1)*J$416</f>
        <v>1390.4996336048516</v>
      </c>
      <c r="K423" s="185">
        <f>(Datasheet!K369/K$395-1)*K$416</f>
        <v>1310.8267737711049</v>
      </c>
      <c r="L423" s="185">
        <f>(Datasheet!L369/L$395-1)*L$416</f>
        <v>1264.1906809307782</v>
      </c>
      <c r="M423" s="185">
        <f>(Datasheet!M369/M$395-1)*M$416</f>
        <v>1450.2576328726047</v>
      </c>
      <c r="N423" s="185">
        <f>(Datasheet!N369/N$395-1)*N$416</f>
        <v>1607.4011469231264</v>
      </c>
      <c r="O423" s="185">
        <f>(Datasheet!O369/O$395-1)*O$416</f>
        <v>1438.2081875364495</v>
      </c>
      <c r="P423" s="185">
        <f>(Datasheet!P369/P$395-1)*P$416</f>
        <v>1243.3512778484005</v>
      </c>
      <c r="Q423" s="185">
        <f>(Datasheet!Q369/Q$395-1)*Q$416</f>
        <v>1331.1786297762321</v>
      </c>
      <c r="R423" s="185">
        <f>(Datasheet!R369/R$395-1)*R$416</f>
        <v>1382.7845757345749</v>
      </c>
      <c r="S423" s="185">
        <f>(Datasheet!S369/S$395-1)*S$416</f>
        <v>1363.0669179041781</v>
      </c>
      <c r="T423" s="185">
        <f>(Datasheet!T369/T$395-1)*T$416</f>
        <v>1378.1707413622496</v>
      </c>
      <c r="U423" s="185">
        <f>(Datasheet!U369/U$395-1)*U$416</f>
        <v>1197.6496678129881</v>
      </c>
      <c r="V423" s="185">
        <f>(Datasheet!V369/V$395-1)*V$416</f>
        <v>1376.6893163672639</v>
      </c>
      <c r="W423" s="185">
        <f>(Datasheet!W369/W$395-1)*W$416</f>
        <v>1625.8351271437018</v>
      </c>
      <c r="X423" s="185">
        <f>(Datasheet!X369/X$395-1)*X$416</f>
        <v>1428.4243607087149</v>
      </c>
      <c r="Y423" s="185">
        <f>(Datasheet!Y369/Y$395-1)*Y$416</f>
        <v>2132.6714721540943</v>
      </c>
      <c r="Z423" s="185">
        <f>(Datasheet!Z369/Z$395-1)*Z$416</f>
        <v>1817.8840487853129</v>
      </c>
      <c r="AA423" s="185" t="e">
        <f>(Datasheet!AA369/AA$395-1)*AA$416</f>
        <v>#DIV/0!</v>
      </c>
      <c r="AB423" s="185" t="e">
        <f>(Datasheet!AB369/AB$395-1)*AB$416</f>
        <v>#DIV/0!</v>
      </c>
      <c r="AC423" s="185" t="e">
        <f>(Datasheet!AC369/AC$395-1)*AC$416</f>
        <v>#DIV/0!</v>
      </c>
      <c r="AD423" s="185" t="e">
        <f>(Datasheet!AD369/AD$395-1)*AD$416</f>
        <v>#DIV/0!</v>
      </c>
      <c r="AE423" s="185" t="e">
        <f>(Datasheet!AE369/AE$395-1)*AE$416</f>
        <v>#DIV/0!</v>
      </c>
      <c r="AF423" s="185" t="e">
        <f>(Datasheet!AF369/AF$395-1)*AF$416</f>
        <v>#DIV/0!</v>
      </c>
      <c r="AG423" s="185" t="e">
        <f>(Datasheet!AG369/AG$395-1)*AG$416</f>
        <v>#DIV/0!</v>
      </c>
      <c r="AH423" s="185" t="e">
        <f>(Datasheet!AH369/AH$395-1)*AH$416</f>
        <v>#DIV/0!</v>
      </c>
      <c r="AI423" s="185" t="e">
        <f>(Datasheet!AI369/AI$395-1)*AI$416</f>
        <v>#DIV/0!</v>
      </c>
      <c r="AJ423" s="185" t="e">
        <f>(Datasheet!AJ369/AJ$395-1)*AJ$416</f>
        <v>#DIV/0!</v>
      </c>
      <c r="AK423" s="185" t="e">
        <f>(Datasheet!AK369/AK$395-1)*AK$416</f>
        <v>#DIV/0!</v>
      </c>
    </row>
    <row r="424" spans="1:37" s="9" customFormat="1" x14ac:dyDescent="0.25">
      <c r="A424" s="9" t="s">
        <v>1592</v>
      </c>
      <c r="D424" s="2"/>
      <c r="E424" s="5" t="s">
        <v>314</v>
      </c>
      <c r="F424" s="5"/>
      <c r="G424" s="5"/>
      <c r="H424" s="5" t="s">
        <v>1025</v>
      </c>
      <c r="I424" s="171">
        <f>Datasheet!I393-SUM(I$420,I$422,I$436)</f>
        <v>593.07952349283732</v>
      </c>
      <c r="J424" s="171">
        <f>Datasheet!J393-SUM(J$420,J$422,J$436)</f>
        <v>668.58296693818556</v>
      </c>
      <c r="K424" s="171">
        <f>Datasheet!K393-SUM(K$420,K$422,K$436)</f>
        <v>518.74344043777091</v>
      </c>
      <c r="L424" s="171">
        <f>Datasheet!L393-SUM(L$420,L$422,L$436)</f>
        <v>364.52401426411234</v>
      </c>
      <c r="M424" s="171">
        <f>Datasheet!M393-SUM(M$420,M$422,M$436)</f>
        <v>638.50763287260452</v>
      </c>
      <c r="N424" s="171">
        <f>Datasheet!N393-SUM(N$420,N$422,N$436)</f>
        <v>803.40114692312636</v>
      </c>
      <c r="O424" s="171">
        <f>Datasheet!O393-SUM(O$420,O$422,O$436)</f>
        <v>939.7915208697832</v>
      </c>
      <c r="P424" s="171">
        <f>Datasheet!P393-SUM(P$420,P$422,P$436)</f>
        <v>922.93461118173582</v>
      </c>
      <c r="Q424" s="171">
        <f>Datasheet!Q393-SUM(Q$420,Q$422,Q$436)</f>
        <v>785.84529644289796</v>
      </c>
      <c r="R424" s="171">
        <f>Datasheet!R393-SUM(R$420,R$422,R$436)</f>
        <v>793.11790906790884</v>
      </c>
      <c r="S424" s="171">
        <f>Datasheet!S393-SUM(S$420,S$422,S$436)</f>
        <v>732.31691790417972</v>
      </c>
      <c r="T424" s="171">
        <f>Datasheet!T393-SUM(T$420,T$422,T$436)</f>
        <v>584.17074136224983</v>
      </c>
      <c r="U424" s="171">
        <f>Datasheet!U393-SUM(U$420,U$422,U$436)</f>
        <v>536.48300114632366</v>
      </c>
      <c r="V424" s="171">
        <f>Datasheet!V393-SUM(V$420,V$422,V$436)</f>
        <v>636.18931636726484</v>
      </c>
      <c r="W424" s="171">
        <f>Datasheet!W393-SUM(W$420,W$422,W$436)</f>
        <v>864.58512714370227</v>
      </c>
      <c r="X424" s="171">
        <f>Datasheet!X393-SUM(X$420,X$422,X$436)</f>
        <v>858.8410273753816</v>
      </c>
      <c r="Y424" s="171">
        <f>Datasheet!Y393-SUM(Y$420,Y$422,Y$436)</f>
        <v>1615.8381388207599</v>
      </c>
      <c r="Z424" s="171">
        <f>Datasheet!Z393-SUM(Z$420,Z$422,Z$436)</f>
        <v>1456.4673821186461</v>
      </c>
      <c r="AA424" s="171" t="e">
        <f>Datasheet!AA393-SUM(AA$420,AA$422,AA$436)</f>
        <v>#DIV/0!</v>
      </c>
      <c r="AB424" s="171" t="e">
        <f>Datasheet!AB393-SUM(AB$420,AB$422,AB$436)</f>
        <v>#DIV/0!</v>
      </c>
      <c r="AC424" s="171" t="e">
        <f>Datasheet!AC393-SUM(AC$420,AC$422,AC$436)</f>
        <v>#DIV/0!</v>
      </c>
      <c r="AD424" s="171" t="e">
        <f>Datasheet!AD393-SUM(AD$420,AD$422,AD$436)</f>
        <v>#DIV/0!</v>
      </c>
      <c r="AE424" s="171" t="e">
        <f>Datasheet!AE393-SUM(AE$420,AE$422,AE$436)</f>
        <v>#DIV/0!</v>
      </c>
      <c r="AF424" s="171" t="e">
        <f>Datasheet!AF393-SUM(AF$420,AF$422,AF$436)</f>
        <v>#DIV/0!</v>
      </c>
      <c r="AG424" s="171" t="e">
        <f>Datasheet!AG393-SUM(AG$420,AG$422,AG$436)</f>
        <v>#DIV/0!</v>
      </c>
      <c r="AH424" s="171" t="e">
        <f>Datasheet!AH393-SUM(AH$420,AH$422,AH$436)</f>
        <v>#DIV/0!</v>
      </c>
      <c r="AI424" s="171" t="e">
        <f>Datasheet!AI393-SUM(AI$420,AI$422,AI$436)</f>
        <v>#DIV/0!</v>
      </c>
      <c r="AJ424" s="171" t="e">
        <f>Datasheet!AJ393-SUM(AJ$420,AJ$422,AJ$436)</f>
        <v>#DIV/0!</v>
      </c>
      <c r="AK424" s="171" t="e">
        <f>Datasheet!AK393-SUM(AK$420,AK$422,AK$436)</f>
        <v>#DIV/0!</v>
      </c>
    </row>
    <row r="425" spans="1:37" s="9" customFormat="1" x14ac:dyDescent="0.25">
      <c r="D425" s="2"/>
      <c r="E425" s="5" t="s">
        <v>315</v>
      </c>
      <c r="F425" s="5"/>
      <c r="G425" s="5"/>
      <c r="H425" s="5" t="s">
        <v>1025</v>
      </c>
      <c r="I425" s="171">
        <f>Datasheet!I394-SUM(I$420,I$422,I$436)</f>
        <v>632.07952349283732</v>
      </c>
      <c r="J425" s="171">
        <f>Datasheet!J394-SUM(J$420,J$422,J$436)</f>
        <v>628.58296693818556</v>
      </c>
      <c r="K425" s="171">
        <f>Datasheet!K394-SUM(K$420,K$422,K$436)</f>
        <v>428.74344043777091</v>
      </c>
      <c r="L425" s="171">
        <f>Datasheet!L394-SUM(L$420,L$422,L$436)</f>
        <v>348.52401426411234</v>
      </c>
      <c r="M425" s="171">
        <f>Datasheet!M394-SUM(M$420,M$422,M$436)</f>
        <v>609.50763287260452</v>
      </c>
      <c r="N425" s="171">
        <f>Datasheet!N394-SUM(N$420,N$422,N$436)</f>
        <v>710.40114692312636</v>
      </c>
      <c r="O425" s="171">
        <f>Datasheet!O394-SUM(O$420,O$422,O$436)</f>
        <v>988.7915208697832</v>
      </c>
      <c r="P425" s="171">
        <f>Datasheet!P394-SUM(P$420,P$422,P$436)</f>
        <v>758.93461118173582</v>
      </c>
      <c r="Q425" s="171">
        <f>Datasheet!Q394-SUM(Q$420,Q$422,Q$436)</f>
        <v>845.84529644289796</v>
      </c>
      <c r="R425" s="171">
        <f>Datasheet!R394-SUM(R$420,R$422,R$436)</f>
        <v>840.11790906790884</v>
      </c>
      <c r="S425" s="171">
        <f>Datasheet!S394-SUM(S$420,S$422,S$436)</f>
        <v>764.31691790417972</v>
      </c>
      <c r="T425" s="171">
        <f>Datasheet!T394-SUM(T$420,T$422,T$436)</f>
        <v>614.17074136224983</v>
      </c>
      <c r="U425" s="171">
        <f>Datasheet!U394-SUM(U$420,U$422,U$436)</f>
        <v>506.48300114632366</v>
      </c>
      <c r="V425" s="171">
        <f>Datasheet!V394-SUM(V$420,V$422,V$436)</f>
        <v>621.18931636726484</v>
      </c>
      <c r="W425" s="171">
        <f>Datasheet!W394-SUM(W$420,W$422,W$436)</f>
        <v>807.58512714370227</v>
      </c>
      <c r="X425" s="171">
        <f>Datasheet!X394-SUM(X$420,X$422,X$436)</f>
        <v>813.8410273753816</v>
      </c>
      <c r="Y425" s="171">
        <f>Datasheet!Y394-SUM(Y$420,Y$422,Y$436)</f>
        <v>1572.8381388207599</v>
      </c>
      <c r="Z425" s="171">
        <f>Datasheet!Z394-SUM(Z$420,Z$422,Z$436)</f>
        <v>1330.4673821186461</v>
      </c>
      <c r="AA425" s="171" t="e">
        <f>Datasheet!AA394-SUM(AA$420,AA$422,AA$436)</f>
        <v>#DIV/0!</v>
      </c>
      <c r="AB425" s="171" t="e">
        <f>Datasheet!AB394-SUM(AB$420,AB$422,AB$436)</f>
        <v>#DIV/0!</v>
      </c>
      <c r="AC425" s="171" t="e">
        <f>Datasheet!AC394-SUM(AC$420,AC$422,AC$436)</f>
        <v>#DIV/0!</v>
      </c>
      <c r="AD425" s="171" t="e">
        <f>Datasheet!AD394-SUM(AD$420,AD$422,AD$436)</f>
        <v>#DIV/0!</v>
      </c>
      <c r="AE425" s="171" t="e">
        <f>Datasheet!AE394-SUM(AE$420,AE$422,AE$436)</f>
        <v>#DIV/0!</v>
      </c>
      <c r="AF425" s="171" t="e">
        <f>Datasheet!AF394-SUM(AF$420,AF$422,AF$436)</f>
        <v>#DIV/0!</v>
      </c>
      <c r="AG425" s="171" t="e">
        <f>Datasheet!AG394-SUM(AG$420,AG$422,AG$436)</f>
        <v>#DIV/0!</v>
      </c>
      <c r="AH425" s="171" t="e">
        <f>Datasheet!AH394-SUM(AH$420,AH$422,AH$436)</f>
        <v>#DIV/0!</v>
      </c>
      <c r="AI425" s="171" t="e">
        <f>Datasheet!AI394-SUM(AI$420,AI$422,AI$436)</f>
        <v>#DIV/0!</v>
      </c>
      <c r="AJ425" s="171" t="e">
        <f>Datasheet!AJ394-SUM(AJ$420,AJ$422,AJ$436)</f>
        <v>#DIV/0!</v>
      </c>
      <c r="AK425" s="171" t="e">
        <f>Datasheet!AK394-SUM(AK$420,AK$422,AK$436)</f>
        <v>#DIV/0!</v>
      </c>
    </row>
    <row r="426" spans="1:37" s="9" customFormat="1" x14ac:dyDescent="0.25">
      <c r="D426" s="2"/>
      <c r="E426" s="5" t="s">
        <v>316</v>
      </c>
      <c r="F426" s="5"/>
      <c r="G426" s="5"/>
      <c r="H426" s="5" t="s">
        <v>1025</v>
      </c>
      <c r="I426" s="171">
        <f>Datasheet!I395-SUM(I$420,I$422,I$436)</f>
        <v>574.07952349283732</v>
      </c>
      <c r="J426" s="171">
        <f>Datasheet!J395-SUM(J$420,J$422,J$436)</f>
        <v>549.58296693818556</v>
      </c>
      <c r="K426" s="171">
        <f>Datasheet!K395-SUM(K$420,K$422,K$436)</f>
        <v>317.74344043777091</v>
      </c>
      <c r="L426" s="171">
        <f>Datasheet!L395-SUM(L$420,L$422,L$436)</f>
        <v>291.52401426411234</v>
      </c>
      <c r="M426" s="171">
        <f>Datasheet!M395-SUM(M$420,M$422,M$436)</f>
        <v>621.50763287260452</v>
      </c>
      <c r="N426" s="171">
        <f>Datasheet!N395-SUM(N$420,N$422,N$436)</f>
        <v>668.40114692312636</v>
      </c>
      <c r="O426" s="171">
        <f>Datasheet!O395-SUM(O$420,O$422,O$436)</f>
        <v>818.7915208697832</v>
      </c>
      <c r="P426" s="171">
        <f>Datasheet!P395-SUM(P$420,P$422,P$436)</f>
        <v>573.93461118173582</v>
      </c>
      <c r="Q426" s="171">
        <f>Datasheet!Q395-SUM(Q$420,Q$422,Q$436)</f>
        <v>674.84529644289796</v>
      </c>
      <c r="R426" s="171">
        <f>Datasheet!R395-SUM(R$420,R$422,R$436)</f>
        <v>768.11790906790884</v>
      </c>
      <c r="S426" s="171">
        <f>Datasheet!S395-SUM(S$420,S$422,S$436)</f>
        <v>601.31691790417972</v>
      </c>
      <c r="T426" s="171">
        <f>Datasheet!T395-SUM(T$420,T$422,T$436)</f>
        <v>563.17074136224983</v>
      </c>
      <c r="U426" s="171">
        <f>Datasheet!U395-SUM(U$420,U$422,U$436)</f>
        <v>482.48300114632366</v>
      </c>
      <c r="V426" s="171">
        <f>Datasheet!V395-SUM(V$420,V$422,V$436)</f>
        <v>655.18931636726484</v>
      </c>
      <c r="W426" s="171">
        <f>Datasheet!W395-SUM(W$420,W$422,W$436)</f>
        <v>794.58512714370227</v>
      </c>
      <c r="X426" s="171">
        <f>Datasheet!X395-SUM(X$420,X$422,X$436)</f>
        <v>692.8410273753816</v>
      </c>
      <c r="Y426" s="171">
        <f>Datasheet!Y395-SUM(Y$420,Y$422,Y$436)</f>
        <v>1445.8381388207599</v>
      </c>
      <c r="Z426" s="171">
        <f>Datasheet!Z395-SUM(Z$420,Z$422,Z$436)</f>
        <v>1205.4673821186461</v>
      </c>
      <c r="AA426" s="171" t="e">
        <f>Datasheet!AA395-SUM(AA$420,AA$422,AA$436)</f>
        <v>#DIV/0!</v>
      </c>
      <c r="AB426" s="171" t="e">
        <f>Datasheet!AB395-SUM(AB$420,AB$422,AB$436)</f>
        <v>#DIV/0!</v>
      </c>
      <c r="AC426" s="171" t="e">
        <f>Datasheet!AC395-SUM(AC$420,AC$422,AC$436)</f>
        <v>#DIV/0!</v>
      </c>
      <c r="AD426" s="171" t="e">
        <f>Datasheet!AD395-SUM(AD$420,AD$422,AD$436)</f>
        <v>#DIV/0!</v>
      </c>
      <c r="AE426" s="171" t="e">
        <f>Datasheet!AE395-SUM(AE$420,AE$422,AE$436)</f>
        <v>#DIV/0!</v>
      </c>
      <c r="AF426" s="171" t="e">
        <f>Datasheet!AF395-SUM(AF$420,AF$422,AF$436)</f>
        <v>#DIV/0!</v>
      </c>
      <c r="AG426" s="171" t="e">
        <f>Datasheet!AG395-SUM(AG$420,AG$422,AG$436)</f>
        <v>#DIV/0!</v>
      </c>
      <c r="AH426" s="171" t="e">
        <f>Datasheet!AH395-SUM(AH$420,AH$422,AH$436)</f>
        <v>#DIV/0!</v>
      </c>
      <c r="AI426" s="171" t="e">
        <f>Datasheet!AI395-SUM(AI$420,AI$422,AI$436)</f>
        <v>#DIV/0!</v>
      </c>
      <c r="AJ426" s="171" t="e">
        <f>Datasheet!AJ395-SUM(AJ$420,AJ$422,AJ$436)</f>
        <v>#DIV/0!</v>
      </c>
      <c r="AK426" s="171" t="e">
        <f>Datasheet!AK395-SUM(AK$420,AK$422,AK$436)</f>
        <v>#DIV/0!</v>
      </c>
    </row>
    <row r="427" spans="1:37" s="9" customFormat="1" x14ac:dyDescent="0.25">
      <c r="D427" s="2"/>
      <c r="E427" s="5" t="s">
        <v>317</v>
      </c>
      <c r="F427" s="5"/>
      <c r="G427" s="5"/>
      <c r="H427" s="5" t="s">
        <v>1025</v>
      </c>
      <c r="I427" s="171">
        <f>Datasheet!I396-SUM(I$420,I$422,I$436)</f>
        <v>141.07952349283732</v>
      </c>
      <c r="J427" s="171">
        <f>Datasheet!J396-SUM(J$420,J$422,J$436)</f>
        <v>-52.417033061814436</v>
      </c>
      <c r="K427" s="171">
        <f>Datasheet!K396-SUM(K$420,K$422,K$436)</f>
        <v>98.743440437770914</v>
      </c>
      <c r="L427" s="171">
        <f>Datasheet!L396-SUM(L$420,L$422,L$436)</f>
        <v>-57.475985735887662</v>
      </c>
      <c r="M427" s="171">
        <f>Datasheet!M396-SUM(M$420,M$422,M$436)</f>
        <v>-73.492367127395482</v>
      </c>
      <c r="N427" s="171">
        <f>Datasheet!N396-SUM(N$420,N$422,N$436)</f>
        <v>196.40114692312636</v>
      </c>
      <c r="O427" s="171">
        <f>Datasheet!O396-SUM(O$420,O$422,O$436)</f>
        <v>27.791520869783199</v>
      </c>
      <c r="P427" s="171">
        <f>Datasheet!P396-SUM(P$420,P$422,P$436)</f>
        <v>-246.06538881826418</v>
      </c>
      <c r="Q427" s="171">
        <f>Datasheet!Q396-SUM(Q$420,Q$422,Q$436)</f>
        <v>-139.15470355710204</v>
      </c>
      <c r="R427" s="171">
        <f>Datasheet!R396-SUM(R$420,R$422,R$436)</f>
        <v>-384.88209093209116</v>
      </c>
      <c r="S427" s="171">
        <f>Datasheet!S396-SUM(S$420,S$422,S$436)</f>
        <v>-95.683082095820282</v>
      </c>
      <c r="T427" s="171">
        <f>Datasheet!T396-SUM(T$420,T$422,T$436)</f>
        <v>-149.82925863775017</v>
      </c>
      <c r="U427" s="171">
        <f>Datasheet!U396-SUM(U$420,U$422,U$436)</f>
        <v>-384.51699885367634</v>
      </c>
      <c r="V427" s="171">
        <f>Datasheet!V396-SUM(V$420,V$422,V$436)</f>
        <v>-259.81068363273516</v>
      </c>
      <c r="W427" s="171">
        <f>Datasheet!W396-SUM(W$420,W$422,W$436)</f>
        <v>-211.41487285629773</v>
      </c>
      <c r="X427" s="171">
        <f>Datasheet!X396-SUM(X$420,X$422,X$436)</f>
        <v>-338.1589726246184</v>
      </c>
      <c r="Y427" s="171">
        <f>Datasheet!Y396-SUM(Y$420,Y$422,Y$436)</f>
        <v>588.83813882075992</v>
      </c>
      <c r="Z427" s="171">
        <f>Datasheet!Z396-SUM(Z$420,Z$422,Z$436)</f>
        <v>100.46738211864613</v>
      </c>
      <c r="AA427" s="171" t="e">
        <f>Datasheet!AA396-SUM(AA$420,AA$422,AA$436)</f>
        <v>#DIV/0!</v>
      </c>
      <c r="AB427" s="171" t="e">
        <f>Datasheet!AB396-SUM(AB$420,AB$422,AB$436)</f>
        <v>#DIV/0!</v>
      </c>
      <c r="AC427" s="171" t="e">
        <f>Datasheet!AC396-SUM(AC$420,AC$422,AC$436)</f>
        <v>#DIV/0!</v>
      </c>
      <c r="AD427" s="171" t="e">
        <f>Datasheet!AD396-SUM(AD$420,AD$422,AD$436)</f>
        <v>#DIV/0!</v>
      </c>
      <c r="AE427" s="171" t="e">
        <f>Datasheet!AE396-SUM(AE$420,AE$422,AE$436)</f>
        <v>#DIV/0!</v>
      </c>
      <c r="AF427" s="171" t="e">
        <f>Datasheet!AF396-SUM(AF$420,AF$422,AF$436)</f>
        <v>#DIV/0!</v>
      </c>
      <c r="AG427" s="171" t="e">
        <f>Datasheet!AG396-SUM(AG$420,AG$422,AG$436)</f>
        <v>#DIV/0!</v>
      </c>
      <c r="AH427" s="171" t="e">
        <f>Datasheet!AH396-SUM(AH$420,AH$422,AH$436)</f>
        <v>#DIV/0!</v>
      </c>
      <c r="AI427" s="171" t="e">
        <f>Datasheet!AI396-SUM(AI$420,AI$422,AI$436)</f>
        <v>#DIV/0!</v>
      </c>
      <c r="AJ427" s="171" t="e">
        <f>Datasheet!AJ396-SUM(AJ$420,AJ$422,AJ$436)</f>
        <v>#DIV/0!</v>
      </c>
      <c r="AK427" s="171" t="e">
        <f>Datasheet!AK396-SUM(AK$420,AK$422,AK$436)</f>
        <v>#DIV/0!</v>
      </c>
    </row>
    <row r="428" spans="1:37" s="9" customFormat="1" x14ac:dyDescent="0.25">
      <c r="D428" s="2"/>
      <c r="E428" s="5" t="s">
        <v>318</v>
      </c>
      <c r="F428" s="5"/>
      <c r="G428" s="5"/>
      <c r="H428" s="5" t="s">
        <v>1025</v>
      </c>
      <c r="I428" s="171">
        <f>Datasheet!I397-SUM(I$420,I$422,I$436)</f>
        <v>1007.0795234928373</v>
      </c>
      <c r="J428" s="171">
        <f>Datasheet!J397-SUM(J$420,J$422,J$436)</f>
        <v>579.58296693818556</v>
      </c>
      <c r="K428" s="171">
        <f>Datasheet!K397-SUM(K$420,K$422,K$436)</f>
        <v>410.74344043777091</v>
      </c>
      <c r="L428" s="171">
        <f>Datasheet!L397-SUM(L$420,L$422,L$436)</f>
        <v>349.52401426411234</v>
      </c>
      <c r="M428" s="171">
        <f>Datasheet!M397-SUM(M$420,M$422,M$436)</f>
        <v>530.50763287260452</v>
      </c>
      <c r="N428" s="171">
        <f>Datasheet!N397-SUM(N$420,N$422,N$436)</f>
        <v>807.40114692312636</v>
      </c>
      <c r="O428" s="171">
        <f>Datasheet!O397-SUM(O$420,O$422,O$436)</f>
        <v>938.7915208697832</v>
      </c>
      <c r="P428" s="171">
        <f>Datasheet!P397-SUM(P$420,P$422,P$436)</f>
        <v>489.93461118173582</v>
      </c>
      <c r="Q428" s="171">
        <f>Datasheet!Q397-SUM(Q$420,Q$422,Q$436)</f>
        <v>633.84529644289796</v>
      </c>
      <c r="R428" s="171">
        <f>Datasheet!R397-SUM(R$420,R$422,R$436)</f>
        <v>396.11790906790884</v>
      </c>
      <c r="S428" s="171">
        <f>Datasheet!S397-SUM(S$420,S$422,S$436)</f>
        <v>379.31691790417972</v>
      </c>
      <c r="T428" s="171">
        <f>Datasheet!T397-SUM(T$420,T$422,T$436)</f>
        <v>281.17074136224983</v>
      </c>
      <c r="U428" s="171">
        <f>Datasheet!U397-SUM(U$420,U$422,U$436)</f>
        <v>81.483001146323659</v>
      </c>
      <c r="V428" s="171">
        <f>Datasheet!V397-SUM(V$420,V$422,V$436)</f>
        <v>484.18931636726484</v>
      </c>
      <c r="W428" s="171">
        <f>Datasheet!W397-SUM(W$420,W$422,W$436)</f>
        <v>706.58512714370227</v>
      </c>
      <c r="X428" s="171">
        <f>Datasheet!X397-SUM(X$420,X$422,X$436)</f>
        <v>564.8410273753816</v>
      </c>
      <c r="Y428" s="171">
        <f>Datasheet!Y397-SUM(Y$420,Y$422,Y$436)</f>
        <v>1324.8381388207599</v>
      </c>
      <c r="Z428" s="171">
        <f>Datasheet!Z397-SUM(Z$420,Z$422,Z$436)</f>
        <v>993.46738211864613</v>
      </c>
      <c r="AA428" s="171" t="e">
        <f>Datasheet!AA397-SUM(AA$420,AA$422,AA$436)</f>
        <v>#DIV/0!</v>
      </c>
      <c r="AB428" s="171" t="e">
        <f>Datasheet!AB397-SUM(AB$420,AB$422,AB$436)</f>
        <v>#DIV/0!</v>
      </c>
      <c r="AC428" s="171" t="e">
        <f>Datasheet!AC397-SUM(AC$420,AC$422,AC$436)</f>
        <v>#DIV/0!</v>
      </c>
      <c r="AD428" s="171" t="e">
        <f>Datasheet!AD397-SUM(AD$420,AD$422,AD$436)</f>
        <v>#DIV/0!</v>
      </c>
      <c r="AE428" s="171" t="e">
        <f>Datasheet!AE397-SUM(AE$420,AE$422,AE$436)</f>
        <v>#DIV/0!</v>
      </c>
      <c r="AF428" s="171" t="e">
        <f>Datasheet!AF397-SUM(AF$420,AF$422,AF$436)</f>
        <v>#DIV/0!</v>
      </c>
      <c r="AG428" s="171" t="e">
        <f>Datasheet!AG397-SUM(AG$420,AG$422,AG$436)</f>
        <v>#DIV/0!</v>
      </c>
      <c r="AH428" s="171" t="e">
        <f>Datasheet!AH397-SUM(AH$420,AH$422,AH$436)</f>
        <v>#DIV/0!</v>
      </c>
      <c r="AI428" s="171" t="e">
        <f>Datasheet!AI397-SUM(AI$420,AI$422,AI$436)</f>
        <v>#DIV/0!</v>
      </c>
      <c r="AJ428" s="171" t="e">
        <f>Datasheet!AJ397-SUM(AJ$420,AJ$422,AJ$436)</f>
        <v>#DIV/0!</v>
      </c>
      <c r="AK428" s="171" t="e">
        <f>Datasheet!AK397-SUM(AK$420,AK$422,AK$436)</f>
        <v>#DIV/0!</v>
      </c>
    </row>
    <row r="429" spans="1:37" s="9" customFormat="1" x14ac:dyDescent="0.25">
      <c r="D429" s="2"/>
      <c r="E429" s="5" t="s">
        <v>319</v>
      </c>
      <c r="F429" s="5"/>
      <c r="G429" s="5"/>
      <c r="H429" s="5" t="s">
        <v>1025</v>
      </c>
      <c r="I429" s="171">
        <f>Datasheet!I398-SUM(I$420,I$422,I$436)</f>
        <v>3524.0795234928373</v>
      </c>
      <c r="J429" s="171">
        <f>Datasheet!J398-SUM(J$420,J$422,J$436)</f>
        <v>2860.5829669381856</v>
      </c>
      <c r="K429" s="171">
        <f>Datasheet!K398-SUM(K$420,K$422,K$436)</f>
        <v>2830.7434404377709</v>
      </c>
      <c r="L429" s="171">
        <f>Datasheet!L398-SUM(L$420,L$422,L$436)</f>
        <v>2621.5240142641123</v>
      </c>
      <c r="M429" s="171">
        <f>Datasheet!M398-SUM(M$420,M$422,M$436)</f>
        <v>2996.5076328726045</v>
      </c>
      <c r="N429" s="171">
        <f>Datasheet!N398-SUM(N$420,N$422,N$436)</f>
        <v>3137.4011469231264</v>
      </c>
      <c r="O429" s="171">
        <f>Datasheet!O398-SUM(O$420,O$422,O$436)</f>
        <v>3244.7915208697832</v>
      </c>
      <c r="P429" s="171">
        <f>Datasheet!P398-SUM(P$420,P$422,P$436)</f>
        <v>2596.9346111817358</v>
      </c>
      <c r="Q429" s="171">
        <f>Datasheet!Q398-SUM(Q$420,Q$422,Q$436)</f>
        <v>2686.845296442898</v>
      </c>
      <c r="R429" s="171">
        <f>Datasheet!R398-SUM(R$420,R$422,R$436)</f>
        <v>2696.1179090679088</v>
      </c>
      <c r="S429" s="171">
        <f>Datasheet!S398-SUM(S$420,S$422,S$436)</f>
        <v>2749.3169179041797</v>
      </c>
      <c r="T429" s="171">
        <f>Datasheet!T398-SUM(T$420,T$422,T$436)</f>
        <v>2919.1707413622498</v>
      </c>
      <c r="U429" s="171">
        <f>Datasheet!U398-SUM(U$420,U$422,U$436)</f>
        <v>2771.4830011463237</v>
      </c>
      <c r="V429" s="171">
        <f>Datasheet!V398-SUM(V$420,V$422,V$436)</f>
        <v>2938.1893163672648</v>
      </c>
      <c r="W429" s="171">
        <f>Datasheet!W398-SUM(W$420,W$422,W$436)</f>
        <v>3296.5851271437023</v>
      </c>
      <c r="X429" s="171">
        <f>Datasheet!X398-SUM(X$420,X$422,X$436)</f>
        <v>2991.8410273753816</v>
      </c>
      <c r="Y429" s="171">
        <f>Datasheet!Y398-SUM(Y$420,Y$422,Y$436)</f>
        <v>3684.8381388207599</v>
      </c>
      <c r="Z429" s="171">
        <f>Datasheet!Z398-SUM(Z$420,Z$422,Z$436)</f>
        <v>3252.4673821186461</v>
      </c>
      <c r="AA429" s="171" t="e">
        <f>Datasheet!AA398-SUM(AA$420,AA$422,AA$436)</f>
        <v>#DIV/0!</v>
      </c>
      <c r="AB429" s="171" t="e">
        <f>Datasheet!AB398-SUM(AB$420,AB$422,AB$436)</f>
        <v>#DIV/0!</v>
      </c>
      <c r="AC429" s="171" t="e">
        <f>Datasheet!AC398-SUM(AC$420,AC$422,AC$436)</f>
        <v>#DIV/0!</v>
      </c>
      <c r="AD429" s="171" t="e">
        <f>Datasheet!AD398-SUM(AD$420,AD$422,AD$436)</f>
        <v>#DIV/0!</v>
      </c>
      <c r="AE429" s="171" t="e">
        <f>Datasheet!AE398-SUM(AE$420,AE$422,AE$436)</f>
        <v>#DIV/0!</v>
      </c>
      <c r="AF429" s="171" t="e">
        <f>Datasheet!AF398-SUM(AF$420,AF$422,AF$436)</f>
        <v>#DIV/0!</v>
      </c>
      <c r="AG429" s="171" t="e">
        <f>Datasheet!AG398-SUM(AG$420,AG$422,AG$436)</f>
        <v>#DIV/0!</v>
      </c>
      <c r="AH429" s="171" t="e">
        <f>Datasheet!AH398-SUM(AH$420,AH$422,AH$436)</f>
        <v>#DIV/0!</v>
      </c>
      <c r="AI429" s="171" t="e">
        <f>Datasheet!AI398-SUM(AI$420,AI$422,AI$436)</f>
        <v>#DIV/0!</v>
      </c>
      <c r="AJ429" s="171" t="e">
        <f>Datasheet!AJ398-SUM(AJ$420,AJ$422,AJ$436)</f>
        <v>#DIV/0!</v>
      </c>
      <c r="AK429" s="171" t="e">
        <f>Datasheet!AK398-SUM(AK$420,AK$422,AK$436)</f>
        <v>#DIV/0!</v>
      </c>
    </row>
    <row r="430" spans="1:37" s="9" customFormat="1" x14ac:dyDescent="0.25">
      <c r="D430" s="2"/>
      <c r="E430" s="5" t="s">
        <v>320</v>
      </c>
      <c r="F430" s="5"/>
      <c r="G430" s="5"/>
      <c r="H430" s="5" t="s">
        <v>1025</v>
      </c>
      <c r="I430" s="171">
        <f>Datasheet!I399-SUM(I$420,I$422,I$436)</f>
        <v>4773.0795234928373</v>
      </c>
      <c r="J430" s="171">
        <f>Datasheet!J399-SUM(J$420,J$422,J$436)</f>
        <v>4057.5829669381856</v>
      </c>
      <c r="K430" s="171">
        <f>Datasheet!K399-SUM(K$420,K$422,K$436)</f>
        <v>3878.7434404377709</v>
      </c>
      <c r="L430" s="171">
        <f>Datasheet!L399-SUM(L$420,L$422,L$436)</f>
        <v>3766.5240142641123</v>
      </c>
      <c r="M430" s="171">
        <f>Datasheet!M399-SUM(M$420,M$422,M$436)</f>
        <v>4142.5076328726045</v>
      </c>
      <c r="N430" s="171">
        <f>Datasheet!N399-SUM(N$420,N$422,N$436)</f>
        <v>4089.4011469231264</v>
      </c>
      <c r="O430" s="171">
        <f>Datasheet!O399-SUM(O$420,O$422,O$436)</f>
        <v>3927.7915208697832</v>
      </c>
      <c r="P430" s="171">
        <f>Datasheet!P399-SUM(P$420,P$422,P$436)</f>
        <v>3413.9346111817358</v>
      </c>
      <c r="Q430" s="171">
        <f>Datasheet!Q399-SUM(Q$420,Q$422,Q$436)</f>
        <v>3548.845296442898</v>
      </c>
      <c r="R430" s="171">
        <f>Datasheet!R399-SUM(R$420,R$422,R$436)</f>
        <v>3762.1179090679088</v>
      </c>
      <c r="S430" s="171">
        <f>Datasheet!S399-SUM(S$420,S$422,S$436)</f>
        <v>3569.3169179041797</v>
      </c>
      <c r="T430" s="171">
        <f>Datasheet!T399-SUM(T$420,T$422,T$436)</f>
        <v>3648.1707413622498</v>
      </c>
      <c r="U430" s="171">
        <f>Datasheet!U399-SUM(U$420,U$422,U$436)</f>
        <v>3627.4830011463237</v>
      </c>
      <c r="V430" s="171">
        <f>Datasheet!V399-SUM(V$420,V$422,V$436)</f>
        <v>3791.1893163672648</v>
      </c>
      <c r="W430" s="171">
        <f>Datasheet!W399-SUM(W$420,W$422,W$436)</f>
        <v>4251.5851271437023</v>
      </c>
      <c r="X430" s="171">
        <f>Datasheet!X399-SUM(X$420,X$422,X$436)</f>
        <v>4043.8410273753816</v>
      </c>
      <c r="Y430" s="171">
        <f>Datasheet!Y399-SUM(Y$420,Y$422,Y$436)</f>
        <v>4668.8381388207599</v>
      </c>
      <c r="Z430" s="171">
        <f>Datasheet!Z399-SUM(Z$420,Z$422,Z$436)</f>
        <v>4230.4673821186461</v>
      </c>
      <c r="AA430" s="171" t="e">
        <f>Datasheet!AA399-SUM(AA$420,AA$422,AA$436)</f>
        <v>#DIV/0!</v>
      </c>
      <c r="AB430" s="171" t="e">
        <f>Datasheet!AB399-SUM(AB$420,AB$422,AB$436)</f>
        <v>#DIV/0!</v>
      </c>
      <c r="AC430" s="171" t="e">
        <f>Datasheet!AC399-SUM(AC$420,AC$422,AC$436)</f>
        <v>#DIV/0!</v>
      </c>
      <c r="AD430" s="171" t="e">
        <f>Datasheet!AD399-SUM(AD$420,AD$422,AD$436)</f>
        <v>#DIV/0!</v>
      </c>
      <c r="AE430" s="171" t="e">
        <f>Datasheet!AE399-SUM(AE$420,AE$422,AE$436)</f>
        <v>#DIV/0!</v>
      </c>
      <c r="AF430" s="171" t="e">
        <f>Datasheet!AF399-SUM(AF$420,AF$422,AF$436)</f>
        <v>#DIV/0!</v>
      </c>
      <c r="AG430" s="171" t="e">
        <f>Datasheet!AG399-SUM(AG$420,AG$422,AG$436)</f>
        <v>#DIV/0!</v>
      </c>
      <c r="AH430" s="171" t="e">
        <f>Datasheet!AH399-SUM(AH$420,AH$422,AH$436)</f>
        <v>#DIV/0!</v>
      </c>
      <c r="AI430" s="171" t="e">
        <f>Datasheet!AI399-SUM(AI$420,AI$422,AI$436)</f>
        <v>#DIV/0!</v>
      </c>
      <c r="AJ430" s="171" t="e">
        <f>Datasheet!AJ399-SUM(AJ$420,AJ$422,AJ$436)</f>
        <v>#DIV/0!</v>
      </c>
      <c r="AK430" s="171" t="e">
        <f>Datasheet!AK399-SUM(AK$420,AK$422,AK$436)</f>
        <v>#DIV/0!</v>
      </c>
    </row>
    <row r="431" spans="1:37" s="9" customFormat="1" x14ac:dyDescent="0.25">
      <c r="D431" s="2"/>
      <c r="E431" s="5" t="s">
        <v>321</v>
      </c>
      <c r="F431" s="5"/>
      <c r="G431" s="5"/>
      <c r="H431" s="5" t="s">
        <v>1025</v>
      </c>
      <c r="I431" s="171">
        <f>Datasheet!I400-SUM(I$420,I$422,I$436)</f>
        <v>4394.0795234928373</v>
      </c>
      <c r="J431" s="171">
        <f>Datasheet!J400-SUM(J$420,J$422,J$436)</f>
        <v>3781.5829669381856</v>
      </c>
      <c r="K431" s="171">
        <f>Datasheet!K400-SUM(K$420,K$422,K$436)</f>
        <v>3579.7434404377709</v>
      </c>
      <c r="L431" s="171">
        <f>Datasheet!L400-SUM(L$420,L$422,L$436)</f>
        <v>3566.5240142641123</v>
      </c>
      <c r="M431" s="171">
        <f>Datasheet!M400-SUM(M$420,M$422,M$436)</f>
        <v>3797.5076328726045</v>
      </c>
      <c r="N431" s="171">
        <f>Datasheet!N400-SUM(N$420,N$422,N$436)</f>
        <v>3882.4011469231264</v>
      </c>
      <c r="O431" s="171">
        <f>Datasheet!O400-SUM(O$420,O$422,O$436)</f>
        <v>3612.7915208697832</v>
      </c>
      <c r="P431" s="171">
        <f>Datasheet!P400-SUM(P$420,P$422,P$436)</f>
        <v>3243.9346111817358</v>
      </c>
      <c r="Q431" s="171">
        <f>Datasheet!Q400-SUM(Q$420,Q$422,Q$436)</f>
        <v>3306.845296442898</v>
      </c>
      <c r="R431" s="171">
        <f>Datasheet!R400-SUM(R$420,R$422,R$436)</f>
        <v>3500.1179090679088</v>
      </c>
      <c r="S431" s="171">
        <f>Datasheet!S400-SUM(S$420,S$422,S$436)</f>
        <v>3404.3169179041797</v>
      </c>
      <c r="T431" s="171">
        <f>Datasheet!T400-SUM(T$420,T$422,T$436)</f>
        <v>3634.1707413622498</v>
      </c>
      <c r="U431" s="171">
        <f>Datasheet!U400-SUM(U$420,U$422,U$436)</f>
        <v>3514.4830011463237</v>
      </c>
      <c r="V431" s="171">
        <f>Datasheet!V400-SUM(V$420,V$422,V$436)</f>
        <v>3628.1893163672648</v>
      </c>
      <c r="W431" s="171">
        <f>Datasheet!W400-SUM(W$420,W$422,W$436)</f>
        <v>3993.5851271437023</v>
      </c>
      <c r="X431" s="171">
        <f>Datasheet!X400-SUM(X$420,X$422,X$436)</f>
        <v>3841.8410273753816</v>
      </c>
      <c r="Y431" s="171">
        <f>Datasheet!Y400-SUM(Y$420,Y$422,Y$436)</f>
        <v>4360.8381388207599</v>
      </c>
      <c r="Z431" s="171">
        <f>Datasheet!Z400-SUM(Z$420,Z$422,Z$436)</f>
        <v>4051.4673821186461</v>
      </c>
      <c r="AA431" s="171" t="e">
        <f>Datasheet!AA400-SUM(AA$420,AA$422,AA$436)</f>
        <v>#DIV/0!</v>
      </c>
      <c r="AB431" s="171" t="e">
        <f>Datasheet!AB400-SUM(AB$420,AB$422,AB$436)</f>
        <v>#DIV/0!</v>
      </c>
      <c r="AC431" s="171" t="e">
        <f>Datasheet!AC400-SUM(AC$420,AC$422,AC$436)</f>
        <v>#DIV/0!</v>
      </c>
      <c r="AD431" s="171" t="e">
        <f>Datasheet!AD400-SUM(AD$420,AD$422,AD$436)</f>
        <v>#DIV/0!</v>
      </c>
      <c r="AE431" s="171" t="e">
        <f>Datasheet!AE400-SUM(AE$420,AE$422,AE$436)</f>
        <v>#DIV/0!</v>
      </c>
      <c r="AF431" s="171" t="e">
        <f>Datasheet!AF400-SUM(AF$420,AF$422,AF$436)</f>
        <v>#DIV/0!</v>
      </c>
      <c r="AG431" s="171" t="e">
        <f>Datasheet!AG400-SUM(AG$420,AG$422,AG$436)</f>
        <v>#DIV/0!</v>
      </c>
      <c r="AH431" s="171" t="e">
        <f>Datasheet!AH400-SUM(AH$420,AH$422,AH$436)</f>
        <v>#DIV/0!</v>
      </c>
      <c r="AI431" s="171" t="e">
        <f>Datasheet!AI400-SUM(AI$420,AI$422,AI$436)</f>
        <v>#DIV/0!</v>
      </c>
      <c r="AJ431" s="171" t="e">
        <f>Datasheet!AJ400-SUM(AJ$420,AJ$422,AJ$436)</f>
        <v>#DIV/0!</v>
      </c>
      <c r="AK431" s="171" t="e">
        <f>Datasheet!AK400-SUM(AK$420,AK$422,AK$436)</f>
        <v>#DIV/0!</v>
      </c>
    </row>
    <row r="432" spans="1:37" s="9" customFormat="1" x14ac:dyDescent="0.25">
      <c r="D432" s="2"/>
      <c r="E432" s="5" t="s">
        <v>322</v>
      </c>
      <c r="F432" s="5"/>
      <c r="G432" s="5"/>
      <c r="H432" s="5" t="s">
        <v>1025</v>
      </c>
      <c r="I432" s="171">
        <f>Datasheet!I401-SUM(I$420,I$422,I$436)</f>
        <v>3140.0795234928373</v>
      </c>
      <c r="J432" s="171">
        <f>Datasheet!J401-SUM(J$420,J$422,J$436)</f>
        <v>2347.5829669381856</v>
      </c>
      <c r="K432" s="171">
        <f>Datasheet!K401-SUM(K$420,K$422,K$436)</f>
        <v>2303.7434404377709</v>
      </c>
      <c r="L432" s="171">
        <f>Datasheet!L401-SUM(L$420,L$422,L$436)</f>
        <v>2329.5240142641123</v>
      </c>
      <c r="M432" s="171">
        <f>Datasheet!M401-SUM(M$420,M$422,M$436)</f>
        <v>2369.5076328726045</v>
      </c>
      <c r="N432" s="171">
        <f>Datasheet!N401-SUM(N$420,N$422,N$436)</f>
        <v>2708.4011469231264</v>
      </c>
      <c r="O432" s="171">
        <f>Datasheet!O401-SUM(O$420,O$422,O$436)</f>
        <v>2214.7915208697832</v>
      </c>
      <c r="P432" s="171">
        <f>Datasheet!P401-SUM(P$420,P$422,P$436)</f>
        <v>2148.9346111817358</v>
      </c>
      <c r="Q432" s="171">
        <f>Datasheet!Q401-SUM(Q$420,Q$422,Q$436)</f>
        <v>2275.845296442898</v>
      </c>
      <c r="R432" s="171">
        <f>Datasheet!R401-SUM(R$420,R$422,R$436)</f>
        <v>2390.1179090679088</v>
      </c>
      <c r="S432" s="171">
        <f>Datasheet!S401-SUM(S$420,S$422,S$436)</f>
        <v>2267.3169179041797</v>
      </c>
      <c r="T432" s="171">
        <f>Datasheet!T401-SUM(T$420,T$422,T$436)</f>
        <v>2452.1707413622498</v>
      </c>
      <c r="U432" s="171">
        <f>Datasheet!U401-SUM(U$420,U$422,U$436)</f>
        <v>2180.4830011463237</v>
      </c>
      <c r="V432" s="171">
        <f>Datasheet!V401-SUM(V$420,V$422,V$436)</f>
        <v>2404.1893163672648</v>
      </c>
      <c r="W432" s="171">
        <f>Datasheet!W401-SUM(W$420,W$422,W$436)</f>
        <v>2758.5851271437023</v>
      </c>
      <c r="X432" s="171">
        <f>Datasheet!X401-SUM(X$420,X$422,X$436)</f>
        <v>2436.8410273753816</v>
      </c>
      <c r="Y432" s="171">
        <f>Datasheet!Y401-SUM(Y$420,Y$422,Y$436)</f>
        <v>3095.8381388207599</v>
      </c>
      <c r="Z432" s="171">
        <f>Datasheet!Z401-SUM(Z$420,Z$422,Z$436)</f>
        <v>2733.4673821186461</v>
      </c>
      <c r="AA432" s="171" t="e">
        <f>Datasheet!AA401-SUM(AA$420,AA$422,AA$436)</f>
        <v>#DIV/0!</v>
      </c>
      <c r="AB432" s="171" t="e">
        <f>Datasheet!AB401-SUM(AB$420,AB$422,AB$436)</f>
        <v>#DIV/0!</v>
      </c>
      <c r="AC432" s="171" t="e">
        <f>Datasheet!AC401-SUM(AC$420,AC$422,AC$436)</f>
        <v>#DIV/0!</v>
      </c>
      <c r="AD432" s="171" t="e">
        <f>Datasheet!AD401-SUM(AD$420,AD$422,AD$436)</f>
        <v>#DIV/0!</v>
      </c>
      <c r="AE432" s="171" t="e">
        <f>Datasheet!AE401-SUM(AE$420,AE$422,AE$436)</f>
        <v>#DIV/0!</v>
      </c>
      <c r="AF432" s="171" t="e">
        <f>Datasheet!AF401-SUM(AF$420,AF$422,AF$436)</f>
        <v>#DIV/0!</v>
      </c>
      <c r="AG432" s="171" t="e">
        <f>Datasheet!AG401-SUM(AG$420,AG$422,AG$436)</f>
        <v>#DIV/0!</v>
      </c>
      <c r="AH432" s="171" t="e">
        <f>Datasheet!AH401-SUM(AH$420,AH$422,AH$436)</f>
        <v>#DIV/0!</v>
      </c>
      <c r="AI432" s="171" t="e">
        <f>Datasheet!AI401-SUM(AI$420,AI$422,AI$436)</f>
        <v>#DIV/0!</v>
      </c>
      <c r="AJ432" s="171" t="e">
        <f>Datasheet!AJ401-SUM(AJ$420,AJ$422,AJ$436)</f>
        <v>#DIV/0!</v>
      </c>
      <c r="AK432" s="171" t="e">
        <f>Datasheet!AK401-SUM(AK$420,AK$422,AK$436)</f>
        <v>#DIV/0!</v>
      </c>
    </row>
    <row r="433" spans="3:37" s="9" customFormat="1" x14ac:dyDescent="0.25">
      <c r="D433" s="2"/>
      <c r="E433" s="5" t="s">
        <v>323</v>
      </c>
      <c r="F433" s="5"/>
      <c r="G433" s="5"/>
      <c r="H433" s="5" t="s">
        <v>1025</v>
      </c>
      <c r="I433" s="171">
        <f>Datasheet!I402-SUM(I$420,I$422,I$436)</f>
        <v>1141.0795234928373</v>
      </c>
      <c r="J433" s="171">
        <f>Datasheet!J402-SUM(J$420,J$422,J$436)</f>
        <v>545.58296693818556</v>
      </c>
      <c r="K433" s="171">
        <f>Datasheet!K402-SUM(K$420,K$422,K$436)</f>
        <v>860.74344043777091</v>
      </c>
      <c r="L433" s="171">
        <f>Datasheet!L402-SUM(L$420,L$422,L$436)</f>
        <v>1069.5240142641123</v>
      </c>
      <c r="M433" s="171">
        <f>Datasheet!M402-SUM(M$420,M$422,M$436)</f>
        <v>963.50763287260452</v>
      </c>
      <c r="N433" s="171">
        <f>Datasheet!N402-SUM(N$420,N$422,N$436)</f>
        <v>1122.4011469231264</v>
      </c>
      <c r="O433" s="171">
        <f>Datasheet!O402-SUM(O$420,O$422,O$436)</f>
        <v>794.7915208697832</v>
      </c>
      <c r="P433" s="171">
        <f>Datasheet!P402-SUM(P$420,P$422,P$436)</f>
        <v>860.93461118173582</v>
      </c>
      <c r="Q433" s="171">
        <f>Datasheet!Q402-SUM(Q$420,Q$422,Q$436)</f>
        <v>940.84529644289796</v>
      </c>
      <c r="R433" s="171">
        <f>Datasheet!R402-SUM(R$420,R$422,R$436)</f>
        <v>1224.1179090679088</v>
      </c>
      <c r="S433" s="171">
        <f>Datasheet!S402-SUM(S$420,S$422,S$436)</f>
        <v>1224.3169179041797</v>
      </c>
      <c r="T433" s="171">
        <f>Datasheet!T402-SUM(T$420,T$422,T$436)</f>
        <v>1273.1707413622498</v>
      </c>
      <c r="U433" s="171">
        <f>Datasheet!U402-SUM(U$420,U$422,U$436)</f>
        <v>1061.4830011463237</v>
      </c>
      <c r="V433" s="171">
        <f>Datasheet!V402-SUM(V$420,V$422,V$436)</f>
        <v>1217.1893163672648</v>
      </c>
      <c r="W433" s="171">
        <f>Datasheet!W402-SUM(W$420,W$422,W$436)</f>
        <v>1478.5851271437023</v>
      </c>
      <c r="X433" s="171">
        <f>Datasheet!X402-SUM(X$420,X$422,X$436)</f>
        <v>1201.8410273753816</v>
      </c>
      <c r="Y433" s="171">
        <f>Datasheet!Y402-SUM(Y$420,Y$422,Y$436)</f>
        <v>1772.8381388207599</v>
      </c>
      <c r="Z433" s="171">
        <f>Datasheet!Z402-SUM(Z$420,Z$422,Z$436)</f>
        <v>1474.4673821186461</v>
      </c>
      <c r="AA433" s="171" t="e">
        <f>Datasheet!AA402-SUM(AA$420,AA$422,AA$436)</f>
        <v>#DIV/0!</v>
      </c>
      <c r="AB433" s="171" t="e">
        <f>Datasheet!AB402-SUM(AB$420,AB$422,AB$436)</f>
        <v>#DIV/0!</v>
      </c>
      <c r="AC433" s="171" t="e">
        <f>Datasheet!AC402-SUM(AC$420,AC$422,AC$436)</f>
        <v>#DIV/0!</v>
      </c>
      <c r="AD433" s="171" t="e">
        <f>Datasheet!AD402-SUM(AD$420,AD$422,AD$436)</f>
        <v>#DIV/0!</v>
      </c>
      <c r="AE433" s="171" t="e">
        <f>Datasheet!AE402-SUM(AE$420,AE$422,AE$436)</f>
        <v>#DIV/0!</v>
      </c>
      <c r="AF433" s="171" t="e">
        <f>Datasheet!AF402-SUM(AF$420,AF$422,AF$436)</f>
        <v>#DIV/0!</v>
      </c>
      <c r="AG433" s="171" t="e">
        <f>Datasheet!AG402-SUM(AG$420,AG$422,AG$436)</f>
        <v>#DIV/0!</v>
      </c>
      <c r="AH433" s="171" t="e">
        <f>Datasheet!AH402-SUM(AH$420,AH$422,AH$436)</f>
        <v>#DIV/0!</v>
      </c>
      <c r="AI433" s="171" t="e">
        <f>Datasheet!AI402-SUM(AI$420,AI$422,AI$436)</f>
        <v>#DIV/0!</v>
      </c>
      <c r="AJ433" s="171" t="e">
        <f>Datasheet!AJ402-SUM(AJ$420,AJ$422,AJ$436)</f>
        <v>#DIV/0!</v>
      </c>
      <c r="AK433" s="171" t="e">
        <f>Datasheet!AK402-SUM(AK$420,AK$422,AK$436)</f>
        <v>#DIV/0!</v>
      </c>
    </row>
    <row r="434" spans="3:37" s="9" customFormat="1" x14ac:dyDescent="0.25">
      <c r="D434" s="2"/>
      <c r="E434" s="5" t="s">
        <v>324</v>
      </c>
      <c r="F434" s="5"/>
      <c r="G434" s="5"/>
      <c r="H434" s="5" t="s">
        <v>1025</v>
      </c>
      <c r="I434" s="171">
        <f>Datasheet!I403-SUM(I$420,I$422,I$436)</f>
        <v>306.07952349283732</v>
      </c>
      <c r="J434" s="171">
        <f>Datasheet!J403-SUM(J$420,J$422,J$436)</f>
        <v>-13.417033061814436</v>
      </c>
      <c r="K434" s="171">
        <f>Datasheet!K403-SUM(K$420,K$422,K$436)</f>
        <v>-174.25655956222909</v>
      </c>
      <c r="L434" s="171">
        <f>Datasheet!L403-SUM(L$420,L$422,L$436)</f>
        <v>-207.47598573588766</v>
      </c>
      <c r="M434" s="171">
        <f>Datasheet!M403-SUM(M$420,M$422,M$436)</f>
        <v>-44.492367127395482</v>
      </c>
      <c r="N434" s="171">
        <f>Datasheet!N403-SUM(N$420,N$422,N$436)</f>
        <v>151.40114692312636</v>
      </c>
      <c r="O434" s="171">
        <f>Datasheet!O403-SUM(O$420,O$422,O$436)</f>
        <v>-450.2084791302168</v>
      </c>
      <c r="P434" s="171">
        <f>Datasheet!P403-SUM(P$420,P$422,P$436)</f>
        <v>-508.06538881826418</v>
      </c>
      <c r="Q434" s="171">
        <f>Datasheet!Q403-SUM(Q$420,Q$422,Q$436)</f>
        <v>-514.15470355710204</v>
      </c>
      <c r="R434" s="171">
        <f>Datasheet!R403-SUM(R$420,R$422,R$436)</f>
        <v>-377.88209093209116</v>
      </c>
      <c r="S434" s="171">
        <f>Datasheet!S403-SUM(S$420,S$422,S$436)</f>
        <v>-43.683082095820282</v>
      </c>
      <c r="T434" s="171">
        <f>Datasheet!T403-SUM(T$420,T$422,T$436)</f>
        <v>-239.82925863775017</v>
      </c>
      <c r="U434" s="171">
        <f>Datasheet!U403-SUM(U$420,U$422,U$436)</f>
        <v>-699.51699885367634</v>
      </c>
      <c r="V434" s="171">
        <f>Datasheet!V403-SUM(V$420,V$422,V$436)</f>
        <v>-520.81068363273516</v>
      </c>
      <c r="W434" s="171">
        <f>Datasheet!W403-SUM(W$420,W$422,W$436)</f>
        <v>-313.41487285629773</v>
      </c>
      <c r="X434" s="171">
        <f>Datasheet!X403-SUM(X$420,X$422,X$436)</f>
        <v>-585.1589726246184</v>
      </c>
      <c r="Y434" s="171">
        <f>Datasheet!Y403-SUM(Y$420,Y$422,Y$436)</f>
        <v>-22.161861179240077</v>
      </c>
      <c r="Z434" s="171">
        <f>Datasheet!Z403-SUM(Z$420,Z$422,Z$436)</f>
        <v>-210.53261788135387</v>
      </c>
      <c r="AA434" s="171" t="e">
        <f>Datasheet!AA403-SUM(AA$420,AA$422,AA$436)</f>
        <v>#DIV/0!</v>
      </c>
      <c r="AB434" s="171" t="e">
        <f>Datasheet!AB403-SUM(AB$420,AB$422,AB$436)</f>
        <v>#DIV/0!</v>
      </c>
      <c r="AC434" s="171" t="e">
        <f>Datasheet!AC403-SUM(AC$420,AC$422,AC$436)</f>
        <v>#DIV/0!</v>
      </c>
      <c r="AD434" s="171" t="e">
        <f>Datasheet!AD403-SUM(AD$420,AD$422,AD$436)</f>
        <v>#DIV/0!</v>
      </c>
      <c r="AE434" s="171" t="e">
        <f>Datasheet!AE403-SUM(AE$420,AE$422,AE$436)</f>
        <v>#DIV/0!</v>
      </c>
      <c r="AF434" s="171" t="e">
        <f>Datasheet!AF403-SUM(AF$420,AF$422,AF$436)</f>
        <v>#DIV/0!</v>
      </c>
      <c r="AG434" s="171" t="e">
        <f>Datasheet!AG403-SUM(AG$420,AG$422,AG$436)</f>
        <v>#DIV/0!</v>
      </c>
      <c r="AH434" s="171" t="e">
        <f>Datasheet!AH403-SUM(AH$420,AH$422,AH$436)</f>
        <v>#DIV/0!</v>
      </c>
      <c r="AI434" s="171" t="e">
        <f>Datasheet!AI403-SUM(AI$420,AI$422,AI$436)</f>
        <v>#DIV/0!</v>
      </c>
      <c r="AJ434" s="171" t="e">
        <f>Datasheet!AJ403-SUM(AJ$420,AJ$422,AJ$436)</f>
        <v>#DIV/0!</v>
      </c>
      <c r="AK434" s="171" t="e">
        <f>Datasheet!AK403-SUM(AK$420,AK$422,AK$436)</f>
        <v>#DIV/0!</v>
      </c>
    </row>
    <row r="435" spans="3:37" s="9" customFormat="1" x14ac:dyDescent="0.25">
      <c r="D435" s="2"/>
      <c r="E435" s="5" t="s">
        <v>325</v>
      </c>
      <c r="F435" s="5"/>
      <c r="G435" s="5"/>
      <c r="H435" s="5" t="s">
        <v>1025</v>
      </c>
      <c r="I435" s="171">
        <f>Datasheet!I404-SUM(I$420,I$422,I$436)</f>
        <v>1176.0795234928373</v>
      </c>
      <c r="J435" s="171">
        <f>Datasheet!J404-SUM(J$420,J$422,J$436)</f>
        <v>732.58296693818556</v>
      </c>
      <c r="K435" s="171">
        <f>Datasheet!K404-SUM(K$420,K$422,K$436)</f>
        <v>675.74344043777091</v>
      </c>
      <c r="L435" s="171">
        <f>Datasheet!L404-SUM(L$420,L$422,L$436)</f>
        <v>727.52401426411234</v>
      </c>
      <c r="M435" s="171">
        <f>Datasheet!M404-SUM(M$420,M$422,M$436)</f>
        <v>851.50763287260452</v>
      </c>
      <c r="N435" s="171">
        <f>Datasheet!N404-SUM(N$420,N$422,N$436)</f>
        <v>1011.4011469231264</v>
      </c>
      <c r="O435" s="171">
        <f>Datasheet!O404-SUM(O$420,O$422,O$436)</f>
        <v>199.7915208697832</v>
      </c>
      <c r="P435" s="171">
        <f>Datasheet!P404-SUM(P$420,P$422,P$436)</f>
        <v>663.93461118173582</v>
      </c>
      <c r="Q435" s="171">
        <f>Datasheet!Q404-SUM(Q$420,Q$422,Q$436)</f>
        <v>927.84529644289796</v>
      </c>
      <c r="R435" s="171">
        <f>Datasheet!R404-SUM(R$420,R$422,R$436)</f>
        <v>986.11790906790884</v>
      </c>
      <c r="S435" s="171">
        <f>Datasheet!S404-SUM(S$420,S$422,S$436)</f>
        <v>804.31691790417972</v>
      </c>
      <c r="T435" s="171">
        <f>Datasheet!T404-SUM(T$420,T$422,T$436)</f>
        <v>958.17074136224983</v>
      </c>
      <c r="U435" s="171">
        <f>Datasheet!U404-SUM(U$420,U$422,U$436)</f>
        <v>693.48300114632366</v>
      </c>
      <c r="V435" s="171">
        <f>Datasheet!V404-SUM(V$420,V$422,V$436)</f>
        <v>925.18931636726484</v>
      </c>
      <c r="W435" s="171">
        <f>Datasheet!W404-SUM(W$420,W$422,W$436)</f>
        <v>1082.5851271437023</v>
      </c>
      <c r="X435" s="171">
        <f>Datasheet!X404-SUM(X$420,X$422,X$436)</f>
        <v>617.8410273753816</v>
      </c>
      <c r="Y435" s="171">
        <f>Datasheet!Y404-SUM(Y$420,Y$422,Y$436)</f>
        <v>1482.8381388207599</v>
      </c>
      <c r="Z435" s="171">
        <f>Datasheet!Z404-SUM(Z$420,Z$422,Z$436)</f>
        <v>1196.4673821186461</v>
      </c>
      <c r="AA435" s="171" t="e">
        <f>Datasheet!AA404-SUM(AA$420,AA$422,AA$436)</f>
        <v>#DIV/0!</v>
      </c>
      <c r="AB435" s="171" t="e">
        <f>Datasheet!AB404-SUM(AB$420,AB$422,AB$436)</f>
        <v>#DIV/0!</v>
      </c>
      <c r="AC435" s="171" t="e">
        <f>Datasheet!AC404-SUM(AC$420,AC$422,AC$436)</f>
        <v>#DIV/0!</v>
      </c>
      <c r="AD435" s="171" t="e">
        <f>Datasheet!AD404-SUM(AD$420,AD$422,AD$436)</f>
        <v>#DIV/0!</v>
      </c>
      <c r="AE435" s="171" t="e">
        <f>Datasheet!AE404-SUM(AE$420,AE$422,AE$436)</f>
        <v>#DIV/0!</v>
      </c>
      <c r="AF435" s="171" t="e">
        <f>Datasheet!AF404-SUM(AF$420,AF$422,AF$436)</f>
        <v>#DIV/0!</v>
      </c>
      <c r="AG435" s="171" t="e">
        <f>Datasheet!AG404-SUM(AG$420,AG$422,AG$436)</f>
        <v>#DIV/0!</v>
      </c>
      <c r="AH435" s="171" t="e">
        <f>Datasheet!AH404-SUM(AH$420,AH$422,AH$436)</f>
        <v>#DIV/0!</v>
      </c>
      <c r="AI435" s="171" t="e">
        <f>Datasheet!AI404-SUM(AI$420,AI$422,AI$436)</f>
        <v>#DIV/0!</v>
      </c>
      <c r="AJ435" s="171" t="e">
        <f>Datasheet!AJ404-SUM(AJ$420,AJ$422,AJ$436)</f>
        <v>#DIV/0!</v>
      </c>
      <c r="AK435" s="171" t="e">
        <f>Datasheet!AK404-SUM(AK$420,AK$422,AK$436)</f>
        <v>#DIV/0!</v>
      </c>
    </row>
    <row r="436" spans="3:37" s="13" customFormat="1" x14ac:dyDescent="0.25">
      <c r="D436" s="15" t="s">
        <v>804</v>
      </c>
      <c r="E436" s="72"/>
      <c r="F436" s="72"/>
      <c r="G436" s="72"/>
      <c r="H436" s="72" t="s">
        <v>1025</v>
      </c>
      <c r="I436" s="185">
        <f>Datasheet!I392-SUM(I$420,I$422,I423)</f>
        <v>3999.3370590531067</v>
      </c>
      <c r="J436" s="185">
        <f>Datasheet!J392-SUM(J$420,J$422,J423)</f>
        <v>4329.4411030836982</v>
      </c>
      <c r="K436" s="185">
        <f>Datasheet!K392-SUM(K$420,K$422,K423)</f>
        <v>4434.2565595622291</v>
      </c>
      <c r="L436" s="185">
        <f>Datasheet!L392-SUM(L$420,L$422,L423)</f>
        <v>4556.4759857358877</v>
      </c>
      <c r="M436" s="185">
        <f>Datasheet!M392-SUM(M$420,M$422,M423)</f>
        <v>4354.4923671273955</v>
      </c>
      <c r="N436" s="185">
        <f>Datasheet!N392-SUM(N$420,N$422,N423)</f>
        <v>4355.5988530768736</v>
      </c>
      <c r="O436" s="185">
        <f>Datasheet!O392-SUM(O$420,O$422,O423)</f>
        <v>4667.2084791302168</v>
      </c>
      <c r="P436" s="185">
        <f>Datasheet!P392-SUM(P$420,P$422,P423)</f>
        <v>4375.3342371116923</v>
      </c>
      <c r="Q436" s="185">
        <f>Datasheet!Q392-SUM(Q$420,Q$422,Q423)</f>
        <v>4136.1011642516041</v>
      </c>
      <c r="R436" s="185">
        <f>Datasheet!R392-SUM(R$420,R$422,R423)</f>
        <v>4103.778877267634</v>
      </c>
      <c r="S436" s="185">
        <f>Datasheet!S392-SUM(S$420,S$422,S423)</f>
        <v>4239.6697061748528</v>
      </c>
      <c r="T436" s="185">
        <f>Datasheet!T392-SUM(T$420,T$422,T423)</f>
        <v>4414.7564064734379</v>
      </c>
      <c r="U436" s="185">
        <f>Datasheet!U392-SUM(U$420,U$422,U423)</f>
        <v>4783.6918772948738</v>
      </c>
      <c r="V436" s="185">
        <f>Datasheet!V392-SUM(V$420,V$422,V423)</f>
        <v>4520.8106836327352</v>
      </c>
      <c r="W436" s="185">
        <f>Datasheet!W392-SUM(W$420,W$422,W423)</f>
        <v>4806.4148728562977</v>
      </c>
      <c r="X436" s="185">
        <f>Datasheet!X392-SUM(X$420,X$422,X423)</f>
        <v>5236.1589726246184</v>
      </c>
      <c r="Y436" s="185">
        <f>Datasheet!Y392-SUM(Y$420,Y$422,Y423)</f>
        <v>4422.1618611792401</v>
      </c>
      <c r="Z436" s="185">
        <f>Datasheet!Z392-SUM(Z$420,Z$422,Z423)</f>
        <v>4821.3376606097318</v>
      </c>
      <c r="AA436" s="185" t="e">
        <f>Datasheet!AA392-SUM(AA$420,AA$422,AA423)</f>
        <v>#DIV/0!</v>
      </c>
      <c r="AB436" s="185" t="e">
        <f>Datasheet!AB392-SUM(AB$420,AB$422,AB423)</f>
        <v>#DIV/0!</v>
      </c>
      <c r="AC436" s="185" t="e">
        <f>Datasheet!AC392-SUM(AC$420,AC$422,AC423)</f>
        <v>#DIV/0!</v>
      </c>
      <c r="AD436" s="185" t="e">
        <f>Datasheet!AD392-SUM(AD$420,AD$422,AD423)</f>
        <v>#DIV/0!</v>
      </c>
      <c r="AE436" s="185" t="e">
        <f>Datasheet!AE392-SUM(AE$420,AE$422,AE423)</f>
        <v>#DIV/0!</v>
      </c>
      <c r="AF436" s="185" t="e">
        <f>Datasheet!AF392-SUM(AF$420,AF$422,AF423)</f>
        <v>#DIV/0!</v>
      </c>
      <c r="AG436" s="185" t="e">
        <f>Datasheet!AG392-SUM(AG$420,AG$422,AG423)</f>
        <v>#DIV/0!</v>
      </c>
      <c r="AH436" s="185" t="e">
        <f>Datasheet!AH392-SUM(AH$420,AH$422,AH423)</f>
        <v>#DIV/0!</v>
      </c>
      <c r="AI436" s="185" t="e">
        <f>Datasheet!AI392-SUM(AI$420,AI$422,AI423)</f>
        <v>#DIV/0!</v>
      </c>
      <c r="AJ436" s="185" t="e">
        <f>Datasheet!AJ392-SUM(AJ$420,AJ$422,AJ423)</f>
        <v>#DIV/0!</v>
      </c>
      <c r="AK436" s="185" t="e">
        <f>Datasheet!AK392-SUM(AK$420,AK$422,AK423)</f>
        <v>#DIV/0!</v>
      </c>
    </row>
    <row r="437" spans="3:37" s="13" customFormat="1" x14ac:dyDescent="0.25">
      <c r="C437" s="15" t="s">
        <v>805</v>
      </c>
      <c r="E437" s="72"/>
      <c r="F437" s="72"/>
      <c r="G437" s="72"/>
      <c r="H437" s="72" t="s">
        <v>1025</v>
      </c>
      <c r="I437" s="185">
        <f>Datasheet!I369/I$400-SUM(I$422,I423)</f>
        <v>5951.7968677193167</v>
      </c>
      <c r="J437" s="185">
        <f>Datasheet!J369/J$400-SUM(J$422,J423)</f>
        <v>6276.7050800363049</v>
      </c>
      <c r="K437" s="185">
        <f>Datasheet!K369/K$400-SUM(K$422,K423)</f>
        <v>6401.6702621486365</v>
      </c>
      <c r="L437" s="185">
        <f>Datasheet!L369/L$400-SUM(L$422,L423)</f>
        <v>6724.586013496737</v>
      </c>
      <c r="M437" s="185">
        <f>Datasheet!M369/M$400-SUM(M$422,M423)</f>
        <v>6892.7181072680378</v>
      </c>
      <c r="N437" s="185">
        <f>Datasheet!N369/N$400-SUM(N$422,N423)</f>
        <v>7430.233998310483</v>
      </c>
      <c r="O437" s="185">
        <f>Datasheet!O369/O$400-SUM(O$422,O423)</f>
        <v>8023.3203886528354</v>
      </c>
      <c r="P437" s="185">
        <f>Datasheet!P369/P$400-SUM(P$422,P423)</f>
        <v>7791.261571120569</v>
      </c>
      <c r="Q437" s="185">
        <f>Datasheet!Q369/Q$400-SUM(Q$422,Q423)</f>
        <v>7523.447337477477</v>
      </c>
      <c r="R437" s="185">
        <f>Datasheet!R369/R$400-SUM(R$422,R423)</f>
        <v>7305.9757915425198</v>
      </c>
      <c r="S437" s="185">
        <f>Datasheet!S369/S$400-SUM(S$422,S423)</f>
        <v>7701.2805155997139</v>
      </c>
      <c r="T437" s="185">
        <f>Datasheet!T369/T$400-SUM(T$422,T423)</f>
        <v>7993.7699526884253</v>
      </c>
      <c r="U437" s="185">
        <f>Datasheet!U369/U$400-SUM(U$422,U423)</f>
        <v>8794.0694279362469</v>
      </c>
      <c r="V437" s="185">
        <f>Datasheet!V369/V$400-SUM(V$422,V423)</f>
        <v>8546.2382135728549</v>
      </c>
      <c r="W437" s="185">
        <f>Datasheet!W369/W$400-SUM(W$422,W423)</f>
        <v>8971.2560615020666</v>
      </c>
      <c r="X437" s="185">
        <f>Datasheet!X369/X$400-SUM(X$422,X423)</f>
        <v>9544.3267196512752</v>
      </c>
      <c r="Y437" s="185">
        <f>Datasheet!Y369/Y$400-SUM(Y$422,Y423)</f>
        <v>9458.0337979302512</v>
      </c>
      <c r="Z437" s="185">
        <f>Datasheet!Z369/Z$400-SUM(Z$422,Z423)</f>
        <v>9625.1153149171532</v>
      </c>
      <c r="AA437" s="185" t="e">
        <f>Datasheet!AA369/AA$400-SUM(AA$422,AA423)</f>
        <v>#DIV/0!</v>
      </c>
      <c r="AB437" s="185" t="e">
        <f>Datasheet!AB369/AB$400-SUM(AB$422,AB423)</f>
        <v>#DIV/0!</v>
      </c>
      <c r="AC437" s="185" t="e">
        <f>Datasheet!AC369/AC$400-SUM(AC$422,AC423)</f>
        <v>#DIV/0!</v>
      </c>
      <c r="AD437" s="185" t="e">
        <f>Datasheet!AD369/AD$400-SUM(AD$422,AD423)</f>
        <v>#DIV/0!</v>
      </c>
      <c r="AE437" s="185" t="e">
        <f>Datasheet!AE369/AE$400-SUM(AE$422,AE423)</f>
        <v>#DIV/0!</v>
      </c>
      <c r="AF437" s="185" t="e">
        <f>Datasheet!AF369/AF$400-SUM(AF$422,AF423)</f>
        <v>#DIV/0!</v>
      </c>
      <c r="AG437" s="185" t="e">
        <f>Datasheet!AG369/AG$400-SUM(AG$422,AG423)</f>
        <v>#DIV/0!</v>
      </c>
      <c r="AH437" s="185" t="e">
        <f>Datasheet!AH369/AH$400-SUM(AH$422,AH423)</f>
        <v>#DIV/0!</v>
      </c>
      <c r="AI437" s="185" t="e">
        <f>Datasheet!AI369/AI$400-SUM(AI$422,AI423)</f>
        <v>#DIV/0!</v>
      </c>
      <c r="AJ437" s="185" t="e">
        <f>Datasheet!AJ369/AJ$400-SUM(AJ$422,AJ423)</f>
        <v>#DIV/0!</v>
      </c>
      <c r="AK437" s="185" t="e">
        <f>Datasheet!AK369/AK$400-SUM(AK$422,AK423)</f>
        <v>#DIV/0!</v>
      </c>
    </row>
    <row r="438" spans="3:37" s="9" customFormat="1" x14ac:dyDescent="0.25">
      <c r="D438" s="2"/>
      <c r="E438" s="5" t="s">
        <v>314</v>
      </c>
      <c r="F438" s="5"/>
      <c r="G438" s="5"/>
      <c r="H438" s="2" t="s">
        <v>1025</v>
      </c>
      <c r="I438" s="171">
        <f>Datasheet!I370/I$400-SUM(I$422,I424)</f>
        <v>5554.7549698280809</v>
      </c>
      <c r="J438" s="171">
        <f>Datasheet!J370/J$400-SUM(J$422,J424)</f>
        <v>6011.6159810533509</v>
      </c>
      <c r="K438" s="171">
        <f>Datasheet!K370/K$400-SUM(K$422,K424)</f>
        <v>6065.4484355268705</v>
      </c>
      <c r="L438" s="171">
        <f>Datasheet!L370/L$400-SUM(L$422,L424)</f>
        <v>6312.1286365585565</v>
      </c>
      <c r="M438" s="171">
        <f>Datasheet!M370/M$400-SUM(M$422,M424)</f>
        <v>6512.6469865308754</v>
      </c>
      <c r="N438" s="171">
        <f>Datasheet!N370/N$400-SUM(N$422,N424)</f>
        <v>7264.8934791084557</v>
      </c>
      <c r="O438" s="171">
        <f>Datasheet!O370/O$400-SUM(O$422,O424)</f>
        <v>7685.9712884278906</v>
      </c>
      <c r="P438" s="171">
        <f>Datasheet!P370/P$400-SUM(P$422,P424)</f>
        <v>7852.7153793642965</v>
      </c>
      <c r="Q438" s="171">
        <f>Datasheet!Q370/Q$400-SUM(Q$422,Q424)</f>
        <v>7177.0439910575878</v>
      </c>
      <c r="R438" s="171">
        <f>Datasheet!R370/R$400-SUM(R$422,R424)</f>
        <v>6898.0857361122307</v>
      </c>
      <c r="S438" s="171">
        <f>Datasheet!S370/S$400-SUM(S$422,S424)</f>
        <v>7298.4299657621632</v>
      </c>
      <c r="T438" s="171">
        <f>Datasheet!T370/T$400-SUM(T$422,T424)</f>
        <v>7509.3407511724827</v>
      </c>
      <c r="U438" s="171">
        <f>Datasheet!U370/U$400-SUM(U$422,U424)</f>
        <v>8356.4966133937614</v>
      </c>
      <c r="V438" s="171">
        <f>Datasheet!V370/V$400-SUM(V$422,V424)</f>
        <v>8153.8315818363299</v>
      </c>
      <c r="W438" s="171">
        <f>Datasheet!W370/W$400-SUM(W$422,W424)</f>
        <v>8624.3253400354806</v>
      </c>
      <c r="X438" s="171">
        <f>Datasheet!X370/X$400-SUM(X$422,X424)</f>
        <v>9057.4393965015133</v>
      </c>
      <c r="Y438" s="171">
        <f>Datasheet!Y370/Y$400-SUM(Y$422,Y424)</f>
        <v>8993.4285358218185</v>
      </c>
      <c r="Z438" s="171">
        <f>Datasheet!Z370/Z$400-SUM(Z$422,Z424)</f>
        <v>9289.6325924351513</v>
      </c>
      <c r="AA438" s="171" t="e">
        <f>Datasheet!AA370/AA$400-SUM(AA$422,AA424)</f>
        <v>#DIV/0!</v>
      </c>
      <c r="AB438" s="171" t="e">
        <f>Datasheet!AB370/AB$400-SUM(AB$422,AB424)</f>
        <v>#DIV/0!</v>
      </c>
      <c r="AC438" s="171" t="e">
        <f>Datasheet!AC370/AC$400-SUM(AC$422,AC424)</f>
        <v>#DIV/0!</v>
      </c>
      <c r="AD438" s="171" t="e">
        <f>Datasheet!AD370/AD$400-SUM(AD$422,AD424)</f>
        <v>#DIV/0!</v>
      </c>
      <c r="AE438" s="171" t="e">
        <f>Datasheet!AE370/AE$400-SUM(AE$422,AE424)</f>
        <v>#DIV/0!</v>
      </c>
      <c r="AF438" s="171" t="e">
        <f>Datasheet!AF370/AF$400-SUM(AF$422,AF424)</f>
        <v>#DIV/0!</v>
      </c>
      <c r="AG438" s="171" t="e">
        <f>Datasheet!AG370/AG$400-SUM(AG$422,AG424)</f>
        <v>#DIV/0!</v>
      </c>
      <c r="AH438" s="171" t="e">
        <f>Datasheet!AH370/AH$400-SUM(AH$422,AH424)</f>
        <v>#DIV/0!</v>
      </c>
      <c r="AI438" s="171" t="e">
        <f>Datasheet!AI370/AI$400-SUM(AI$422,AI424)</f>
        <v>#DIV/0!</v>
      </c>
      <c r="AJ438" s="171" t="e">
        <f>Datasheet!AJ370/AJ$400-SUM(AJ$422,AJ424)</f>
        <v>#DIV/0!</v>
      </c>
      <c r="AK438" s="171" t="e">
        <f>Datasheet!AK370/AK$400-SUM(AK$422,AK424)</f>
        <v>#DIV/0!</v>
      </c>
    </row>
    <row r="439" spans="3:37" s="9" customFormat="1" x14ac:dyDescent="0.25">
      <c r="D439" s="2"/>
      <c r="E439" s="5" t="s">
        <v>315</v>
      </c>
      <c r="F439" s="5"/>
      <c r="G439" s="5"/>
      <c r="H439" s="2" t="s">
        <v>1025</v>
      </c>
      <c r="I439" s="171">
        <f>Datasheet!I371/I$400-SUM(I$422,I425)</f>
        <v>5497.0624060101009</v>
      </c>
      <c r="J439" s="171">
        <f>Datasheet!J371/J$400-SUM(J$422,J425)</f>
        <v>5994.7118125961106</v>
      </c>
      <c r="K439" s="171">
        <f>Datasheet!K371/K$400-SUM(K$422,K425)</f>
        <v>6073.9109022028915</v>
      </c>
      <c r="L439" s="171">
        <f>Datasheet!L371/L$400-SUM(L$422,L425)</f>
        <v>6333.3742185207739</v>
      </c>
      <c r="M439" s="171">
        <f>Datasheet!M371/M$400-SUM(M$422,M425)</f>
        <v>6621.2426481934635</v>
      </c>
      <c r="N439" s="171">
        <f>Datasheet!N371/N$400-SUM(N$422,N425)</f>
        <v>7310.4693449866809</v>
      </c>
      <c r="O439" s="171">
        <f>Datasheet!O371/O$400-SUM(O$422,O425)</f>
        <v>7737.8370719820032</v>
      </c>
      <c r="P439" s="171">
        <f>Datasheet!P371/P$400-SUM(P$422,P425)</f>
        <v>7749.6183363535447</v>
      </c>
      <c r="Q439" s="171">
        <f>Datasheet!Q371/Q$400-SUM(Q$422,Q425)</f>
        <v>7117.9290162959496</v>
      </c>
      <c r="R439" s="171">
        <f>Datasheet!R371/R$400-SUM(R$422,R425)</f>
        <v>6849.3317902272247</v>
      </c>
      <c r="S439" s="171">
        <f>Datasheet!S371/S$400-SUM(S$422,S425)</f>
        <v>7290.8801054936048</v>
      </c>
      <c r="T439" s="171">
        <f>Datasheet!T371/T$400-SUM(T$422,T425)</f>
        <v>7525.3763627772923</v>
      </c>
      <c r="U439" s="171">
        <f>Datasheet!U371/U$400-SUM(U$422,U425)</f>
        <v>8276.5863192761135</v>
      </c>
      <c r="V439" s="171">
        <f>Datasheet!V371/V$400-SUM(V$422,V425)</f>
        <v>8143.8203842315379</v>
      </c>
      <c r="W439" s="171">
        <f>Datasheet!W371/W$400-SUM(W$422,W425)</f>
        <v>8551.05331164991</v>
      </c>
      <c r="X439" s="171">
        <f>Datasheet!X371/X$400-SUM(X$422,X425)</f>
        <v>9042.0983785205626</v>
      </c>
      <c r="Y439" s="171">
        <f>Datasheet!Y371/Y$400-SUM(Y$422,Y425)</f>
        <v>8902.7045422823066</v>
      </c>
      <c r="Z439" s="171">
        <f>Datasheet!Z371/Z$400-SUM(Z$422,Z425)</f>
        <v>9179.0233688004701</v>
      </c>
      <c r="AA439" s="171" t="e">
        <f>Datasheet!AA371/AA$400-SUM(AA$422,AA425)</f>
        <v>#DIV/0!</v>
      </c>
      <c r="AB439" s="171" t="e">
        <f>Datasheet!AB371/AB$400-SUM(AB$422,AB425)</f>
        <v>#DIV/0!</v>
      </c>
      <c r="AC439" s="171" t="e">
        <f>Datasheet!AC371/AC$400-SUM(AC$422,AC425)</f>
        <v>#DIV/0!</v>
      </c>
      <c r="AD439" s="171" t="e">
        <f>Datasheet!AD371/AD$400-SUM(AD$422,AD425)</f>
        <v>#DIV/0!</v>
      </c>
      <c r="AE439" s="171" t="e">
        <f>Datasheet!AE371/AE$400-SUM(AE$422,AE425)</f>
        <v>#DIV/0!</v>
      </c>
      <c r="AF439" s="171" t="e">
        <f>Datasheet!AF371/AF$400-SUM(AF$422,AF425)</f>
        <v>#DIV/0!</v>
      </c>
      <c r="AG439" s="171" t="e">
        <f>Datasheet!AG371/AG$400-SUM(AG$422,AG425)</f>
        <v>#DIV/0!</v>
      </c>
      <c r="AH439" s="171" t="e">
        <f>Datasheet!AH371/AH$400-SUM(AH$422,AH425)</f>
        <v>#DIV/0!</v>
      </c>
      <c r="AI439" s="171" t="e">
        <f>Datasheet!AI371/AI$400-SUM(AI$422,AI425)</f>
        <v>#DIV/0!</v>
      </c>
      <c r="AJ439" s="171" t="e">
        <f>Datasheet!AJ371/AJ$400-SUM(AJ$422,AJ425)</f>
        <v>#DIV/0!</v>
      </c>
      <c r="AK439" s="171" t="e">
        <f>Datasheet!AK371/AK$400-SUM(AK$422,AK425)</f>
        <v>#DIV/0!</v>
      </c>
    </row>
    <row r="440" spans="3:37" s="9" customFormat="1" x14ac:dyDescent="0.25">
      <c r="D440" s="2"/>
      <c r="E440" s="5" t="s">
        <v>316</v>
      </c>
      <c r="F440" s="5"/>
      <c r="G440" s="5"/>
      <c r="H440" s="2" t="s">
        <v>1025</v>
      </c>
      <c r="I440" s="171">
        <f>Datasheet!I372/I$400-SUM(I$422,I426)</f>
        <v>5536.3698421921208</v>
      </c>
      <c r="J440" s="171">
        <f>Datasheet!J372/J$400-SUM(J$422,J426)</f>
        <v>5967.0164967387836</v>
      </c>
      <c r="K440" s="171">
        <f>Datasheet!K372/K$400-SUM(K$422,K426)</f>
        <v>6120.2126420653858</v>
      </c>
      <c r="L440" s="171">
        <f>Datasheet!L372/L$400-SUM(L$422,L426)</f>
        <v>6377.2602636152296</v>
      </c>
      <c r="M440" s="171">
        <f>Datasheet!M372/M$400-SUM(M$422,M426)</f>
        <v>6650.35249542579</v>
      </c>
      <c r="N440" s="171">
        <f>Datasheet!N372/N$400-SUM(N$422,N426)</f>
        <v>7356.8604685164737</v>
      </c>
      <c r="O440" s="171">
        <f>Datasheet!O372/O$400-SUM(O$422,O426)</f>
        <v>7764.3641902024483</v>
      </c>
      <c r="P440" s="171">
        <f>Datasheet!P372/P$400-SUM(P$422,P426)</f>
        <v>7737.6231750632205</v>
      </c>
      <c r="Q440" s="171">
        <f>Datasheet!Q372/Q$400-SUM(Q$422,Q426)</f>
        <v>7040.2369243161393</v>
      </c>
      <c r="R440" s="171">
        <f>Datasheet!R372/R$400-SUM(R$422,R426)</f>
        <v>6808.2022806443601</v>
      </c>
      <c r="S440" s="171">
        <f>Datasheet!S372/S$400-SUM(S$422,S426)</f>
        <v>7274.8701538883979</v>
      </c>
      <c r="T440" s="171">
        <f>Datasheet!T372/T$400-SUM(T$422,T426)</f>
        <v>7528.6035582817358</v>
      </c>
      <c r="U440" s="171">
        <f>Datasheet!U372/U$400-SUM(U$422,U426)</f>
        <v>8275.2895055506233</v>
      </c>
      <c r="V440" s="171">
        <f>Datasheet!V372/V$400-SUM(V$422,V426)</f>
        <v>8154.6680489021965</v>
      </c>
      <c r="W440" s="171">
        <f>Datasheet!W372/W$400-SUM(W$422,W426)</f>
        <v>8547.5521880544038</v>
      </c>
      <c r="X440" s="171">
        <f>Datasheet!X372/X$400-SUM(X$422,X426)</f>
        <v>9079.4829678898222</v>
      </c>
      <c r="Y440" s="171">
        <f>Datasheet!Y372/Y$400-SUM(Y$422,Y426)</f>
        <v>8929.8457159378668</v>
      </c>
      <c r="Z440" s="171">
        <f>Datasheet!Z372/Z$400-SUM(Z$422,Z426)</f>
        <v>9113.3492691681276</v>
      </c>
      <c r="AA440" s="171" t="e">
        <f>Datasheet!AA372/AA$400-SUM(AA$422,AA426)</f>
        <v>#DIV/0!</v>
      </c>
      <c r="AB440" s="171" t="e">
        <f>Datasheet!AB372/AB$400-SUM(AB$422,AB426)</f>
        <v>#DIV/0!</v>
      </c>
      <c r="AC440" s="171" t="e">
        <f>Datasheet!AC372/AC$400-SUM(AC$422,AC426)</f>
        <v>#DIV/0!</v>
      </c>
      <c r="AD440" s="171" t="e">
        <f>Datasheet!AD372/AD$400-SUM(AD$422,AD426)</f>
        <v>#DIV/0!</v>
      </c>
      <c r="AE440" s="171" t="e">
        <f>Datasheet!AE372/AE$400-SUM(AE$422,AE426)</f>
        <v>#DIV/0!</v>
      </c>
      <c r="AF440" s="171" t="e">
        <f>Datasheet!AF372/AF$400-SUM(AF$422,AF426)</f>
        <v>#DIV/0!</v>
      </c>
      <c r="AG440" s="171" t="e">
        <f>Datasheet!AG372/AG$400-SUM(AG$422,AG426)</f>
        <v>#DIV/0!</v>
      </c>
      <c r="AH440" s="171" t="e">
        <f>Datasheet!AH372/AH$400-SUM(AH$422,AH426)</f>
        <v>#DIV/0!</v>
      </c>
      <c r="AI440" s="171" t="e">
        <f>Datasheet!AI372/AI$400-SUM(AI$422,AI426)</f>
        <v>#DIV/0!</v>
      </c>
      <c r="AJ440" s="171" t="e">
        <f>Datasheet!AJ372/AJ$400-SUM(AJ$422,AJ426)</f>
        <v>#DIV/0!</v>
      </c>
      <c r="AK440" s="171" t="e">
        <f>Datasheet!AK372/AK$400-SUM(AK$422,AK426)</f>
        <v>#DIV/0!</v>
      </c>
    </row>
    <row r="441" spans="3:37" s="9" customFormat="1" x14ac:dyDescent="0.25">
      <c r="D441" s="2"/>
      <c r="E441" s="5" t="s">
        <v>317</v>
      </c>
      <c r="F441" s="5"/>
      <c r="G441" s="5"/>
      <c r="H441" s="2" t="s">
        <v>1025</v>
      </c>
      <c r="I441" s="171">
        <f>Datasheet!I373/I$400-SUM(I$422,I427)</f>
        <v>5496.7150142231976</v>
      </c>
      <c r="J441" s="171">
        <f>Datasheet!J373/J$400-SUM(J$422,J427)</f>
        <v>6043.5420661414473</v>
      </c>
      <c r="K441" s="171">
        <f>Datasheet!K373/K$400-SUM(K$422,K427)</f>
        <v>6002.4271783359072</v>
      </c>
      <c r="L441" s="171">
        <f>Datasheet!L373/L$400-SUM(L$422,L427)</f>
        <v>6332.8416164488663</v>
      </c>
      <c r="M441" s="171">
        <f>Datasheet!M373/M$400-SUM(M$422,M427)</f>
        <v>6458.4294083283748</v>
      </c>
      <c r="N441" s="171">
        <f>Datasheet!N373/N$400-SUM(N$422,N427)</f>
        <v>6779.3819448957056</v>
      </c>
      <c r="O441" s="171">
        <f>Datasheet!O373/O$400-SUM(O$422,O427)</f>
        <v>7406.7116033491602</v>
      </c>
      <c r="P441" s="171">
        <f>Datasheet!P373/P$400-SUM(P$422,P427)</f>
        <v>7294.0145729126843</v>
      </c>
      <c r="Q441" s="171">
        <f>Datasheet!Q373/Q$400-SUM(Q$422,Q427)</f>
        <v>6770.0810073223092</v>
      </c>
      <c r="R441" s="171">
        <f>Datasheet!R373/R$400-SUM(R$422,R427)</f>
        <v>6394.9286053343276</v>
      </c>
      <c r="S441" s="171">
        <f>Datasheet!S373/S$400-SUM(S$422,S427)</f>
        <v>6974.6537405559739</v>
      </c>
      <c r="T441" s="171">
        <f>Datasheet!T373/T$400-SUM(T$422,T427)</f>
        <v>7306.9937830595709</v>
      </c>
      <c r="U441" s="171">
        <f>Datasheet!U373/U$400-SUM(U$422,U427)</f>
        <v>8080.6956330016037</v>
      </c>
      <c r="V441" s="171">
        <f>Datasheet!V373/V$400-SUM(V$422,V427)</f>
        <v>7876.8926596806396</v>
      </c>
      <c r="W441" s="171">
        <f>Datasheet!W373/W$400-SUM(W$422,W427)</f>
        <v>8183.9589296274389</v>
      </c>
      <c r="X441" s="171">
        <f>Datasheet!X373/X$400-SUM(X$422,X427)</f>
        <v>8765.7402814572652</v>
      </c>
      <c r="Y441" s="171">
        <f>Datasheet!Y373/Y$400-SUM(Y$422,Y427)</f>
        <v>8699.6870152140546</v>
      </c>
      <c r="Z441" s="171">
        <f>Datasheet!Z373/Z$400-SUM(Z$422,Z427)</f>
        <v>8790.8936232841697</v>
      </c>
      <c r="AA441" s="171" t="e">
        <f>Datasheet!AA373/AA$400-SUM(AA$422,AA427)</f>
        <v>#DIV/0!</v>
      </c>
      <c r="AB441" s="171" t="e">
        <f>Datasheet!AB373/AB$400-SUM(AB$422,AB427)</f>
        <v>#DIV/0!</v>
      </c>
      <c r="AC441" s="171" t="e">
        <f>Datasheet!AC373/AC$400-SUM(AC$422,AC427)</f>
        <v>#DIV/0!</v>
      </c>
      <c r="AD441" s="171" t="e">
        <f>Datasheet!AD373/AD$400-SUM(AD$422,AD427)</f>
        <v>#DIV/0!</v>
      </c>
      <c r="AE441" s="171" t="e">
        <f>Datasheet!AE373/AE$400-SUM(AE$422,AE427)</f>
        <v>#DIV/0!</v>
      </c>
      <c r="AF441" s="171" t="e">
        <f>Datasheet!AF373/AF$400-SUM(AF$422,AF427)</f>
        <v>#DIV/0!</v>
      </c>
      <c r="AG441" s="171" t="e">
        <f>Datasheet!AG373/AG$400-SUM(AG$422,AG427)</f>
        <v>#DIV/0!</v>
      </c>
      <c r="AH441" s="171" t="e">
        <f>Datasheet!AH373/AH$400-SUM(AH$422,AH427)</f>
        <v>#DIV/0!</v>
      </c>
      <c r="AI441" s="171" t="e">
        <f>Datasheet!AI373/AI$400-SUM(AI$422,AI427)</f>
        <v>#DIV/0!</v>
      </c>
      <c r="AJ441" s="171" t="e">
        <f>Datasheet!AJ373/AJ$400-SUM(AJ$422,AJ427)</f>
        <v>#DIV/0!</v>
      </c>
      <c r="AK441" s="171" t="e">
        <f>Datasheet!AK373/AK$400-SUM(AK$422,AK427)</f>
        <v>#DIV/0!</v>
      </c>
    </row>
    <row r="442" spans="3:37" s="9" customFormat="1" x14ac:dyDescent="0.25">
      <c r="D442" s="2"/>
      <c r="E442" s="5" t="s">
        <v>318</v>
      </c>
      <c r="F442" s="5"/>
      <c r="G442" s="5"/>
      <c r="H442" s="2" t="s">
        <v>1025</v>
      </c>
      <c r="I442" s="171">
        <f>Datasheet!I374/I$400-SUM(I$422,I428)</f>
        <v>5976.579609117759</v>
      </c>
      <c r="J442" s="171">
        <f>Datasheet!J374/J$400-SUM(J$422,J428)</f>
        <v>6296.2240601251169</v>
      </c>
      <c r="K442" s="171">
        <f>Datasheet!K374/K$400-SUM(K$422,K428)</f>
        <v>6261.1899116037621</v>
      </c>
      <c r="L442" s="171">
        <f>Datasheet!L374/L$400-SUM(L$422,L428)</f>
        <v>6643.6120816123857</v>
      </c>
      <c r="M442" s="171">
        <f>Datasheet!M374/M$400-SUM(M$422,M428)</f>
        <v>6697.6186153914005</v>
      </c>
      <c r="N442" s="171">
        <f>Datasheet!N374/N$400-SUM(N$422,N428)</f>
        <v>7121.2557508610062</v>
      </c>
      <c r="O442" s="171">
        <f>Datasheet!O374/O$400-SUM(O$422,O428)</f>
        <v>7916.5278992751792</v>
      </c>
      <c r="P442" s="171">
        <f>Datasheet!P374/P$400-SUM(P$422,P428)</f>
        <v>7796.776938504082</v>
      </c>
      <c r="Q442" s="171">
        <f>Datasheet!Q374/Q$400-SUM(Q$422,Q428)</f>
        <v>7362.6749501153554</v>
      </c>
      <c r="R442" s="171">
        <f>Datasheet!R374/R$400-SUM(R$422,R428)</f>
        <v>6957.4511532486449</v>
      </c>
      <c r="S442" s="171">
        <f>Datasheet!S374/S$400-SUM(S$422,S428)</f>
        <v>7392.083840753643</v>
      </c>
      <c r="T442" s="171">
        <f>Datasheet!T374/T$400-SUM(T$422,T428)</f>
        <v>7681.1826879210448</v>
      </c>
      <c r="U442" s="171">
        <f>Datasheet!U374/U$400-SUM(U$422,U428)</f>
        <v>8541.9547016290544</v>
      </c>
      <c r="V442" s="171">
        <f>Datasheet!V374/V$400-SUM(V$422,V428)</f>
        <v>8366.2034381237536</v>
      </c>
      <c r="W442" s="171">
        <f>Datasheet!W374/W$400-SUM(W$422,W428)</f>
        <v>8813.5906268480176</v>
      </c>
      <c r="X442" s="171">
        <f>Datasheet!X374/X$400-SUM(X$422,X428)</f>
        <v>9446.2609961858598</v>
      </c>
      <c r="Y442" s="171">
        <f>Datasheet!Y374/Y$400-SUM(Y$422,Y428)</f>
        <v>9381.6823493050979</v>
      </c>
      <c r="Z442" s="171">
        <f>Datasheet!Z374/Z$400-SUM(Z$422,Z428)</f>
        <v>9568.8920964258032</v>
      </c>
      <c r="AA442" s="171" t="e">
        <f>Datasheet!AA374/AA$400-SUM(AA$422,AA428)</f>
        <v>#DIV/0!</v>
      </c>
      <c r="AB442" s="171" t="e">
        <f>Datasheet!AB374/AB$400-SUM(AB$422,AB428)</f>
        <v>#DIV/0!</v>
      </c>
      <c r="AC442" s="171" t="e">
        <f>Datasheet!AC374/AC$400-SUM(AC$422,AC428)</f>
        <v>#DIV/0!</v>
      </c>
      <c r="AD442" s="171" t="e">
        <f>Datasheet!AD374/AD$400-SUM(AD$422,AD428)</f>
        <v>#DIV/0!</v>
      </c>
      <c r="AE442" s="171" t="e">
        <f>Datasheet!AE374/AE$400-SUM(AE$422,AE428)</f>
        <v>#DIV/0!</v>
      </c>
      <c r="AF442" s="171" t="e">
        <f>Datasheet!AF374/AF$400-SUM(AF$422,AF428)</f>
        <v>#DIV/0!</v>
      </c>
      <c r="AG442" s="171" t="e">
        <f>Datasheet!AG374/AG$400-SUM(AG$422,AG428)</f>
        <v>#DIV/0!</v>
      </c>
      <c r="AH442" s="171" t="e">
        <f>Datasheet!AH374/AH$400-SUM(AH$422,AH428)</f>
        <v>#DIV/0!</v>
      </c>
      <c r="AI442" s="171" t="e">
        <f>Datasheet!AI374/AI$400-SUM(AI$422,AI428)</f>
        <v>#DIV/0!</v>
      </c>
      <c r="AJ442" s="171" t="e">
        <f>Datasheet!AJ374/AJ$400-SUM(AJ$422,AJ428)</f>
        <v>#DIV/0!</v>
      </c>
      <c r="AK442" s="171" t="e">
        <f>Datasheet!AK374/AK$400-SUM(AK$422,AK428)</f>
        <v>#DIV/0!</v>
      </c>
    </row>
    <row r="443" spans="3:37" s="9" customFormat="1" x14ac:dyDescent="0.25">
      <c r="D443" s="2"/>
      <c r="E443" s="5" t="s">
        <v>319</v>
      </c>
      <c r="F443" s="5"/>
      <c r="G443" s="5"/>
      <c r="H443" s="2" t="s">
        <v>1025</v>
      </c>
      <c r="I443" s="171">
        <f>Datasheet!I375/I$400-SUM(I$422,I429)</f>
        <v>6690.7227833685938</v>
      </c>
      <c r="J443" s="171">
        <f>Datasheet!J375/J$400-SUM(J$422,J429)</f>
        <v>6966.2386712123553</v>
      </c>
      <c r="K443" s="171">
        <f>Datasheet!K375/K$400-SUM(K$422,K429)</f>
        <v>7014.0634909499095</v>
      </c>
      <c r="L443" s="171">
        <f>Datasheet!L375/L$400-SUM(L$422,L429)</f>
        <v>7406.1812467555901</v>
      </c>
      <c r="M443" s="171">
        <f>Datasheet!M375/M$400-SUM(M$422,M429)</f>
        <v>7662.9788428895827</v>
      </c>
      <c r="N443" s="171">
        <f>Datasheet!N375/N$400-SUM(N$422,N429)</f>
        <v>8000.2888264344692</v>
      </c>
      <c r="O443" s="171">
        <f>Datasheet!O375/O$400-SUM(O$422,O429)</f>
        <v>8785.1914833791543</v>
      </c>
      <c r="P443" s="171">
        <f>Datasheet!P375/P$400-SUM(P$422,P429)</f>
        <v>8527.5720997944045</v>
      </c>
      <c r="Q443" s="171">
        <f>Datasheet!Q375/Q$400-SUM(Q$422,Q429)</f>
        <v>8350.6216691282552</v>
      </c>
      <c r="R443" s="171">
        <f>Datasheet!R375/R$400-SUM(R$422,R429)</f>
        <v>7976.7937406218134</v>
      </c>
      <c r="S443" s="171">
        <f>Datasheet!S375/S$400-SUM(S$422,S429)</f>
        <v>8478.2857356483346</v>
      </c>
      <c r="T443" s="171">
        <f>Datasheet!T375/T$400-SUM(T$422,T429)</f>
        <v>8740.7977558771345</v>
      </c>
      <c r="U443" s="171">
        <f>Datasheet!U375/U$400-SUM(U$422,U429)</f>
        <v>9663.0505349623891</v>
      </c>
      <c r="V443" s="171">
        <f>Datasheet!V375/V$400-SUM(V$422,V429)</f>
        <v>9328.3880489021976</v>
      </c>
      <c r="W443" s="171">
        <f>Datasheet!W375/W$400-SUM(W$422,W429)</f>
        <v>9843.4160555884082</v>
      </c>
      <c r="X443" s="171">
        <f>Datasheet!X375/X$400-SUM(X$422,X429)</f>
        <v>10438.872686620447</v>
      </c>
      <c r="Y443" s="171">
        <f>Datasheet!Y375/Y$400-SUM(Y$422,Y429)</f>
        <v>10416.882445016054</v>
      </c>
      <c r="Z443" s="171">
        <f>Datasheet!Z375/Z$400-SUM(Z$422,Z429)</f>
        <v>10547.01828791128</v>
      </c>
      <c r="AA443" s="171" t="e">
        <f>Datasheet!AA375/AA$400-SUM(AA$422,AA429)</f>
        <v>#DIV/0!</v>
      </c>
      <c r="AB443" s="171" t="e">
        <f>Datasheet!AB375/AB$400-SUM(AB$422,AB429)</f>
        <v>#DIV/0!</v>
      </c>
      <c r="AC443" s="171" t="e">
        <f>Datasheet!AC375/AC$400-SUM(AC$422,AC429)</f>
        <v>#DIV/0!</v>
      </c>
      <c r="AD443" s="171" t="e">
        <f>Datasheet!AD375/AD$400-SUM(AD$422,AD429)</f>
        <v>#DIV/0!</v>
      </c>
      <c r="AE443" s="171" t="e">
        <f>Datasheet!AE375/AE$400-SUM(AE$422,AE429)</f>
        <v>#DIV/0!</v>
      </c>
      <c r="AF443" s="171" t="e">
        <f>Datasheet!AF375/AF$400-SUM(AF$422,AF429)</f>
        <v>#DIV/0!</v>
      </c>
      <c r="AG443" s="171" t="e">
        <f>Datasheet!AG375/AG$400-SUM(AG$422,AG429)</f>
        <v>#DIV/0!</v>
      </c>
      <c r="AH443" s="171" t="e">
        <f>Datasheet!AH375/AH$400-SUM(AH$422,AH429)</f>
        <v>#DIV/0!</v>
      </c>
      <c r="AI443" s="171" t="e">
        <f>Datasheet!AI375/AI$400-SUM(AI$422,AI429)</f>
        <v>#DIV/0!</v>
      </c>
      <c r="AJ443" s="171" t="e">
        <f>Datasheet!AJ375/AJ$400-SUM(AJ$422,AJ429)</f>
        <v>#DIV/0!</v>
      </c>
      <c r="AK443" s="171" t="e">
        <f>Datasheet!AK375/AK$400-SUM(AK$422,AK429)</f>
        <v>#DIV/0!</v>
      </c>
    </row>
    <row r="444" spans="3:37" s="9" customFormat="1" x14ac:dyDescent="0.25">
      <c r="D444" s="2"/>
      <c r="E444" s="5" t="s">
        <v>320</v>
      </c>
      <c r="F444" s="5"/>
      <c r="G444" s="5"/>
      <c r="H444" s="2" t="s">
        <v>1025</v>
      </c>
      <c r="I444" s="171">
        <f>Datasheet!I376/I$400-SUM(I$422,I430)</f>
        <v>6571.2877112265269</v>
      </c>
      <c r="J444" s="171">
        <f>Datasheet!J376/J$400-SUM(J$422,J430)</f>
        <v>6674.370600735343</v>
      </c>
      <c r="K444" s="171">
        <f>Datasheet!K376/K$400-SUM(K$422,K430)</f>
        <v>6854.1135821523785</v>
      </c>
      <c r="L444" s="171">
        <f>Datasheet!L376/L$400-SUM(L$422,L430)</f>
        <v>7176.5352991626605</v>
      </c>
      <c r="M444" s="171">
        <f>Datasheet!M376/M$400-SUM(M$422,M430)</f>
        <v>7403.901929986996</v>
      </c>
      <c r="N444" s="171">
        <f>Datasheet!N376/N$400-SUM(N$422,N430)</f>
        <v>7889.6280947429987</v>
      </c>
      <c r="O444" s="171">
        <f>Datasheet!O376/O$400-SUM(O$422,O430)</f>
        <v>8575.2172269432613</v>
      </c>
      <c r="P444" s="171">
        <f>Datasheet!P376/P$400-SUM(P$422,P430)</f>
        <v>8265.1755944180586</v>
      </c>
      <c r="Q444" s="171">
        <f>Datasheet!Q376/Q$400-SUM(Q$422,Q430)</f>
        <v>8370.1068065371164</v>
      </c>
      <c r="R444" s="171">
        <f>Datasheet!R376/R$400-SUM(R$422,R430)</f>
        <v>8097.3381318281263</v>
      </c>
      <c r="S444" s="171">
        <f>Datasheet!S376/S$400-SUM(S$422,S430)</f>
        <v>8404.0149974573451</v>
      </c>
      <c r="T444" s="171">
        <f>Datasheet!T376/T$400-SUM(T$422,T430)</f>
        <v>8673.6682472519387</v>
      </c>
      <c r="U444" s="171">
        <f>Datasheet!U376/U$400-SUM(U$422,U430)</f>
        <v>9602.591711432975</v>
      </c>
      <c r="V444" s="171">
        <f>Datasheet!V376/V$400-SUM(V$422,V430)</f>
        <v>9317.1442165668668</v>
      </c>
      <c r="W444" s="171">
        <f>Datasheet!W376/W$400-SUM(W$422,W430)</f>
        <v>9858.5084269662912</v>
      </c>
      <c r="X444" s="171">
        <f>Datasheet!X376/X$400-SUM(X$422,X430)</f>
        <v>10436.806399488943</v>
      </c>
      <c r="Y444" s="171">
        <f>Datasheet!Y376/Y$400-SUM(Y$422,Y430)</f>
        <v>10428.865695599292</v>
      </c>
      <c r="Z444" s="171">
        <f>Datasheet!Z376/Z$400-SUM(Z$422,Z430)</f>
        <v>10567.457209622466</v>
      </c>
      <c r="AA444" s="171" t="e">
        <f>Datasheet!AA376/AA$400-SUM(AA$422,AA430)</f>
        <v>#DIV/0!</v>
      </c>
      <c r="AB444" s="171" t="e">
        <f>Datasheet!AB376/AB$400-SUM(AB$422,AB430)</f>
        <v>#DIV/0!</v>
      </c>
      <c r="AC444" s="171" t="e">
        <f>Datasheet!AC376/AC$400-SUM(AC$422,AC430)</f>
        <v>#DIV/0!</v>
      </c>
      <c r="AD444" s="171" t="e">
        <f>Datasheet!AD376/AD$400-SUM(AD$422,AD430)</f>
        <v>#DIV/0!</v>
      </c>
      <c r="AE444" s="171" t="e">
        <f>Datasheet!AE376/AE$400-SUM(AE$422,AE430)</f>
        <v>#DIV/0!</v>
      </c>
      <c r="AF444" s="171" t="e">
        <f>Datasheet!AF376/AF$400-SUM(AF$422,AF430)</f>
        <v>#DIV/0!</v>
      </c>
      <c r="AG444" s="171" t="e">
        <f>Datasheet!AG376/AG$400-SUM(AG$422,AG430)</f>
        <v>#DIV/0!</v>
      </c>
      <c r="AH444" s="171" t="e">
        <f>Datasheet!AH376/AH$400-SUM(AH$422,AH430)</f>
        <v>#DIV/0!</v>
      </c>
      <c r="AI444" s="171" t="e">
        <f>Datasheet!AI376/AI$400-SUM(AI$422,AI430)</f>
        <v>#DIV/0!</v>
      </c>
      <c r="AJ444" s="171" t="e">
        <f>Datasheet!AJ376/AJ$400-SUM(AJ$422,AJ430)</f>
        <v>#DIV/0!</v>
      </c>
      <c r="AK444" s="171" t="e">
        <f>Datasheet!AK376/AK$400-SUM(AK$422,AK430)</f>
        <v>#DIV/0!</v>
      </c>
    </row>
    <row r="445" spans="3:37" s="9" customFormat="1" x14ac:dyDescent="0.25">
      <c r="D445" s="2"/>
      <c r="E445" s="5" t="s">
        <v>321</v>
      </c>
      <c r="F445" s="5"/>
      <c r="G445" s="5"/>
      <c r="H445" s="2" t="s">
        <v>1025</v>
      </c>
      <c r="I445" s="171">
        <f>Datasheet!I377/I$400-SUM(I$422,I431)</f>
        <v>6646.7560797059959</v>
      </c>
      <c r="J445" s="171">
        <f>Datasheet!J377/J$400-SUM(J$422,J431)</f>
        <v>6820.5579664422621</v>
      </c>
      <c r="K445" s="171">
        <f>Datasheet!K377/K$400-SUM(K$422,K431)</f>
        <v>7025.4896169496278</v>
      </c>
      <c r="L445" s="171">
        <f>Datasheet!L377/L$400-SUM(L$422,L431)</f>
        <v>7299.6000970501264</v>
      </c>
      <c r="M445" s="171">
        <f>Datasheet!M377/M$400-SUM(M$422,M431)</f>
        <v>7482.1252617772207</v>
      </c>
      <c r="N445" s="171">
        <f>Datasheet!N377/N$400-SUM(N$422,N431)</f>
        <v>7905.1751088439814</v>
      </c>
      <c r="O445" s="171">
        <f>Datasheet!O377/O$400-SUM(O$422,O431)</f>
        <v>8637.1832354411363</v>
      </c>
      <c r="P445" s="171">
        <f>Datasheet!P377/P$400-SUM(P$422,P431)</f>
        <v>8256.8151105470897</v>
      </c>
      <c r="Q445" s="171">
        <f>Datasheet!Q377/Q$400-SUM(Q$422,Q431)</f>
        <v>8417.401254097409</v>
      </c>
      <c r="R445" s="171">
        <f>Datasheet!R377/R$400-SUM(R$422,R431)</f>
        <v>8226.9152175102008</v>
      </c>
      <c r="S445" s="171">
        <f>Datasheet!S377/S$400-SUM(S$422,S431)</f>
        <v>8498.2842360913837</v>
      </c>
      <c r="T445" s="171">
        <f>Datasheet!T377/T$400-SUM(T$422,T431)</f>
        <v>8788.4254349152943</v>
      </c>
      <c r="U445" s="171">
        <f>Datasheet!U377/U$400-SUM(U$422,U431)</f>
        <v>9648.4243094721933</v>
      </c>
      <c r="V445" s="171">
        <f>Datasheet!V377/V$400-SUM(V$422,V431)</f>
        <v>9371.4748752495034</v>
      </c>
      <c r="W445" s="171">
        <f>Datasheet!W377/W$400-SUM(W$422,W431)</f>
        <v>9845.5426079243043</v>
      </c>
      <c r="X445" s="171">
        <f>Datasheet!X377/X$400-SUM(X$422,X431)</f>
        <v>10495.711985419837</v>
      </c>
      <c r="Y445" s="171">
        <f>Datasheet!Y377/Y$400-SUM(Y$422,Y431)</f>
        <v>10491.994486650317</v>
      </c>
      <c r="Z445" s="171">
        <f>Datasheet!Z377/Z$400-SUM(Z$422,Z431)</f>
        <v>10636.38625210743</v>
      </c>
      <c r="AA445" s="171" t="e">
        <f>Datasheet!AA377/AA$400-SUM(AA$422,AA431)</f>
        <v>#DIV/0!</v>
      </c>
      <c r="AB445" s="171" t="e">
        <f>Datasheet!AB377/AB$400-SUM(AB$422,AB431)</f>
        <v>#DIV/0!</v>
      </c>
      <c r="AC445" s="171" t="e">
        <f>Datasheet!AC377/AC$400-SUM(AC$422,AC431)</f>
        <v>#DIV/0!</v>
      </c>
      <c r="AD445" s="171" t="e">
        <f>Datasheet!AD377/AD$400-SUM(AD$422,AD431)</f>
        <v>#DIV/0!</v>
      </c>
      <c r="AE445" s="171" t="e">
        <f>Datasheet!AE377/AE$400-SUM(AE$422,AE431)</f>
        <v>#DIV/0!</v>
      </c>
      <c r="AF445" s="171" t="e">
        <f>Datasheet!AF377/AF$400-SUM(AF$422,AF431)</f>
        <v>#DIV/0!</v>
      </c>
      <c r="AG445" s="171" t="e">
        <f>Datasheet!AG377/AG$400-SUM(AG$422,AG431)</f>
        <v>#DIV/0!</v>
      </c>
      <c r="AH445" s="171" t="e">
        <f>Datasheet!AH377/AH$400-SUM(AH$422,AH431)</f>
        <v>#DIV/0!</v>
      </c>
      <c r="AI445" s="171" t="e">
        <f>Datasheet!AI377/AI$400-SUM(AI$422,AI431)</f>
        <v>#DIV/0!</v>
      </c>
      <c r="AJ445" s="171" t="e">
        <f>Datasheet!AJ377/AJ$400-SUM(AJ$422,AJ431)</f>
        <v>#DIV/0!</v>
      </c>
      <c r="AK445" s="171" t="e">
        <f>Datasheet!AK377/AK$400-SUM(AK$422,AK431)</f>
        <v>#DIV/0!</v>
      </c>
    </row>
    <row r="446" spans="3:37" s="9" customFormat="1" x14ac:dyDescent="0.25">
      <c r="D446" s="2"/>
      <c r="E446" s="5" t="s">
        <v>322</v>
      </c>
      <c r="F446" s="5"/>
      <c r="G446" s="5"/>
      <c r="H446" s="2" t="s">
        <v>1025</v>
      </c>
      <c r="I446" s="171">
        <f>Datasheet!I378/I$400-SUM(I$422,I432)</f>
        <v>6466.7693982409546</v>
      </c>
      <c r="J446" s="171">
        <f>Datasheet!J378/J$400-SUM(J$422,J432)</f>
        <v>6658.5738667430796</v>
      </c>
      <c r="K446" s="171">
        <f>Datasheet!K378/K$400-SUM(K$422,K432)</f>
        <v>6851.5395678406076</v>
      </c>
      <c r="L446" s="171">
        <f>Datasheet!L378/L$400-SUM(L$422,L432)</f>
        <v>7178.8686324959926</v>
      </c>
      <c r="M446" s="171">
        <f>Datasheet!M378/M$400-SUM(M$422,M432)</f>
        <v>7328.7081597337037</v>
      </c>
      <c r="N446" s="171">
        <f>Datasheet!N378/N$400-SUM(N$422,N432)</f>
        <v>7876.8854863863817</v>
      </c>
      <c r="O446" s="171">
        <f>Datasheet!O378/O$400-SUM(O$422,O432)</f>
        <v>8522.1964821294659</v>
      </c>
      <c r="P446" s="171">
        <f>Datasheet!P378/P$400-SUM(P$422,P432)</f>
        <v>8191.1409169987055</v>
      </c>
      <c r="Q446" s="171">
        <f>Datasheet!Q378/Q$400-SUM(Q$422,Q432)</f>
        <v>8220.8712484888838</v>
      </c>
      <c r="R446" s="171">
        <f>Datasheet!R378/R$400-SUM(R$422,R432)</f>
        <v>8146.8629345338759</v>
      </c>
      <c r="S446" s="171">
        <f>Datasheet!S378/S$400-SUM(S$422,S432)</f>
        <v>8328.9481990114309</v>
      </c>
      <c r="T446" s="171">
        <f>Datasheet!T378/T$400-SUM(T$422,T432)</f>
        <v>8694.4572566612442</v>
      </c>
      <c r="U446" s="171">
        <f>Datasheet!U378/U$400-SUM(U$422,U432)</f>
        <v>9440.1909761388597</v>
      </c>
      <c r="V446" s="171">
        <f>Datasheet!V378/V$400-SUM(V$422,V432)</f>
        <v>9175.0113423153707</v>
      </c>
      <c r="W446" s="171">
        <f>Datasheet!W378/W$400-SUM(W$422,W432)</f>
        <v>9609.3371673565925</v>
      </c>
      <c r="X446" s="171">
        <f>Datasheet!X378/X$400-SUM(X$422,X432)</f>
        <v>10225.817729177235</v>
      </c>
      <c r="Y446" s="171">
        <f>Datasheet!Y378/Y$400-SUM(Y$422,Y432)</f>
        <v>10068.94615261909</v>
      </c>
      <c r="Z446" s="171">
        <f>Datasheet!Z378/Z$400-SUM(Z$422,Z432)</f>
        <v>10214.051742735854</v>
      </c>
      <c r="AA446" s="171" t="e">
        <f>Datasheet!AA378/AA$400-SUM(AA$422,AA432)</f>
        <v>#DIV/0!</v>
      </c>
      <c r="AB446" s="171" t="e">
        <f>Datasheet!AB378/AB$400-SUM(AB$422,AB432)</f>
        <v>#DIV/0!</v>
      </c>
      <c r="AC446" s="171" t="e">
        <f>Datasheet!AC378/AC$400-SUM(AC$422,AC432)</f>
        <v>#DIV/0!</v>
      </c>
      <c r="AD446" s="171" t="e">
        <f>Datasheet!AD378/AD$400-SUM(AD$422,AD432)</f>
        <v>#DIV/0!</v>
      </c>
      <c r="AE446" s="171" t="e">
        <f>Datasheet!AE378/AE$400-SUM(AE$422,AE432)</f>
        <v>#DIV/0!</v>
      </c>
      <c r="AF446" s="171" t="e">
        <f>Datasheet!AF378/AF$400-SUM(AF$422,AF432)</f>
        <v>#DIV/0!</v>
      </c>
      <c r="AG446" s="171" t="e">
        <f>Datasheet!AG378/AG$400-SUM(AG$422,AG432)</f>
        <v>#DIV/0!</v>
      </c>
      <c r="AH446" s="171" t="e">
        <f>Datasheet!AH378/AH$400-SUM(AH$422,AH432)</f>
        <v>#DIV/0!</v>
      </c>
      <c r="AI446" s="171" t="e">
        <f>Datasheet!AI378/AI$400-SUM(AI$422,AI432)</f>
        <v>#DIV/0!</v>
      </c>
      <c r="AJ446" s="171" t="e">
        <f>Datasheet!AJ378/AJ$400-SUM(AJ$422,AJ432)</f>
        <v>#DIV/0!</v>
      </c>
      <c r="AK446" s="171" t="e">
        <f>Datasheet!AK378/AK$400-SUM(AK$422,AK432)</f>
        <v>#DIV/0!</v>
      </c>
    </row>
    <row r="447" spans="3:37" s="9" customFormat="1" x14ac:dyDescent="0.25">
      <c r="D447" s="2"/>
      <c r="E447" s="5" t="s">
        <v>323</v>
      </c>
      <c r="F447" s="5"/>
      <c r="G447" s="5"/>
      <c r="H447" s="2" t="s">
        <v>1025</v>
      </c>
      <c r="I447" s="171">
        <f>Datasheet!I379/I$400-SUM(I$422,I433)</f>
        <v>5775.8204526249738</v>
      </c>
      <c r="J447" s="171">
        <f>Datasheet!J379/J$400-SUM(J$422,J433)</f>
        <v>6018.1402612424363</v>
      </c>
      <c r="K447" s="171">
        <f>Datasheet!K379/K$400-SUM(K$422,K433)</f>
        <v>6326.1171600954131</v>
      </c>
      <c r="L447" s="171">
        <f>Datasheet!L379/L$400-SUM(L$422,L433)</f>
        <v>6700.8324756810416</v>
      </c>
      <c r="M447" s="171">
        <f>Datasheet!M379/M$400-SUM(M$422,M433)</f>
        <v>6705.4561261380441</v>
      </c>
      <c r="N447" s="171">
        <f>Datasheet!N379/N$400-SUM(N$422,N433)</f>
        <v>7316.5043050230706</v>
      </c>
      <c r="O447" s="171">
        <f>Datasheet!O379/O$400-SUM(O$422,O433)</f>
        <v>7931.8370719820032</v>
      </c>
      <c r="P447" s="171">
        <f>Datasheet!P379/P$400-SUM(P$422,P433)</f>
        <v>7475.4694116223609</v>
      </c>
      <c r="Q447" s="171">
        <f>Datasheet!Q379/Q$400-SUM(Q$422,Q433)</f>
        <v>7412.3401211753662</v>
      </c>
      <c r="R447" s="171">
        <f>Datasheet!R379/R$400-SUM(R$422,R433)</f>
        <v>7402.8158657627373</v>
      </c>
      <c r="S447" s="171">
        <f>Datasheet!S379/S$400-SUM(S$422,S433)</f>
        <v>7746.0139068704721</v>
      </c>
      <c r="T447" s="171">
        <f>Datasheet!T379/T$400-SUM(T$422,T433)</f>
        <v>8165.7966450564354</v>
      </c>
      <c r="U447" s="171">
        <f>Datasheet!U379/U$400-SUM(U$422,U433)</f>
        <v>8910.5365643741534</v>
      </c>
      <c r="V447" s="171">
        <f>Datasheet!V379/V$400-SUM(V$422,V433)</f>
        <v>8603.4654141716601</v>
      </c>
      <c r="W447" s="171">
        <f>Datasheet!W379/W$400-SUM(W$422,W433)</f>
        <v>8963.0481076286196</v>
      </c>
      <c r="X447" s="171">
        <f>Datasheet!X379/X$400-SUM(X$422,X433)</f>
        <v>9554.0415609792744</v>
      </c>
      <c r="Y447" s="171">
        <f>Datasheet!Y379/Y$400-SUM(Y$422,Y433)</f>
        <v>9409.5313652768637</v>
      </c>
      <c r="Z447" s="171">
        <f>Datasheet!Z379/Z$400-SUM(Z$422,Z433)</f>
        <v>9708.4496206837939</v>
      </c>
      <c r="AA447" s="171" t="e">
        <f>Datasheet!AA379/AA$400-SUM(AA$422,AA433)</f>
        <v>#DIV/0!</v>
      </c>
      <c r="AB447" s="171" t="e">
        <f>Datasheet!AB379/AB$400-SUM(AB$422,AB433)</f>
        <v>#DIV/0!</v>
      </c>
      <c r="AC447" s="171" t="e">
        <f>Datasheet!AC379/AC$400-SUM(AC$422,AC433)</f>
        <v>#DIV/0!</v>
      </c>
      <c r="AD447" s="171" t="e">
        <f>Datasheet!AD379/AD$400-SUM(AD$422,AD433)</f>
        <v>#DIV/0!</v>
      </c>
      <c r="AE447" s="171" t="e">
        <f>Datasheet!AE379/AE$400-SUM(AE$422,AE433)</f>
        <v>#DIV/0!</v>
      </c>
      <c r="AF447" s="171" t="e">
        <f>Datasheet!AF379/AF$400-SUM(AF$422,AF433)</f>
        <v>#DIV/0!</v>
      </c>
      <c r="AG447" s="171" t="e">
        <f>Datasheet!AG379/AG$400-SUM(AG$422,AG433)</f>
        <v>#DIV/0!</v>
      </c>
      <c r="AH447" s="171" t="e">
        <f>Datasheet!AH379/AH$400-SUM(AH$422,AH433)</f>
        <v>#DIV/0!</v>
      </c>
      <c r="AI447" s="171" t="e">
        <f>Datasheet!AI379/AI$400-SUM(AI$422,AI433)</f>
        <v>#DIV/0!</v>
      </c>
      <c r="AJ447" s="171" t="e">
        <f>Datasheet!AJ379/AJ$400-SUM(AJ$422,AJ433)</f>
        <v>#DIV/0!</v>
      </c>
      <c r="AK447" s="171" t="e">
        <f>Datasheet!AK379/AK$400-SUM(AK$422,AK433)</f>
        <v>#DIV/0!</v>
      </c>
    </row>
    <row r="448" spans="3:37" s="9" customFormat="1" x14ac:dyDescent="0.25">
      <c r="D448" s="2"/>
      <c r="E448" s="5" t="s">
        <v>324</v>
      </c>
      <c r="F448" s="5"/>
      <c r="G448" s="5"/>
      <c r="H448" s="2" t="s">
        <v>1025</v>
      </c>
      <c r="I448" s="171">
        <f>Datasheet!I380/I$400-SUM(I$422,I434)</f>
        <v>5421.6173449668158</v>
      </c>
      <c r="J448" s="171">
        <f>Datasheet!J380/J$400-SUM(J$422,J434)</f>
        <v>5752.9189462445838</v>
      </c>
      <c r="K448" s="171">
        <f>Datasheet!K380/K$400-SUM(K$422,K434)</f>
        <v>5924.4612740283446</v>
      </c>
      <c r="L448" s="171">
        <f>Datasheet!L380/L$400-SUM(L$422,L434)</f>
        <v>6240.6705825264617</v>
      </c>
      <c r="M448" s="171">
        <f>Datasheet!M380/M$400-SUM(M$422,M434)</f>
        <v>6337.5882602561578</v>
      </c>
      <c r="N448" s="171">
        <f>Datasheet!N380/N$400-SUM(N$422,N434)</f>
        <v>6890.2487978426161</v>
      </c>
      <c r="O448" s="171">
        <f>Datasheet!O380/O$400-SUM(O$422,O434)</f>
        <v>7405.5991314671319</v>
      </c>
      <c r="P448" s="171">
        <f>Datasheet!P380/P$400-SUM(P$422,P434)</f>
        <v>6873.6304331277379</v>
      </c>
      <c r="Q448" s="171">
        <f>Datasheet!Q380/Q$400-SUM(Q$422,Q434)</f>
        <v>6651.2369243161393</v>
      </c>
      <c r="R448" s="171">
        <f>Datasheet!R380/R$400-SUM(R$422,R434)</f>
        <v>6579.9856797424436</v>
      </c>
      <c r="S448" s="171">
        <f>Datasheet!S380/S$400-SUM(S$422,S434)</f>
        <v>7062.3688247356476</v>
      </c>
      <c r="T448" s="171">
        <f>Datasheet!T380/T$400-SUM(T$422,T434)</f>
        <v>7332.7176461019126</v>
      </c>
      <c r="U448" s="171">
        <f>Datasheet!U380/U$400-SUM(U$422,U434)</f>
        <v>7934.2468584918006</v>
      </c>
      <c r="V448" s="171">
        <f>Datasheet!V380/V$400-SUM(V$422,V434)</f>
        <v>7695.453198602796</v>
      </c>
      <c r="W448" s="171">
        <f>Datasheet!W380/W$400-SUM(W$422,W434)</f>
        <v>8049.7323181549364</v>
      </c>
      <c r="X448" s="171">
        <f>Datasheet!X380/X$400-SUM(X$422,X434)</f>
        <v>8680.002668019466</v>
      </c>
      <c r="Y448" s="171">
        <f>Datasheet!Y380/Y$400-SUM(Y$422,Y434)</f>
        <v>8513.553079699308</v>
      </c>
      <c r="Z448" s="171">
        <f>Datasheet!Z380/Z$400-SUM(Z$422,Z434)</f>
        <v>8385.1323487571299</v>
      </c>
      <c r="AA448" s="171" t="e">
        <f>Datasheet!AA380/AA$400-SUM(AA$422,AA434)</f>
        <v>#DIV/0!</v>
      </c>
      <c r="AB448" s="171" t="e">
        <f>Datasheet!AB380/AB$400-SUM(AB$422,AB434)</f>
        <v>#DIV/0!</v>
      </c>
      <c r="AC448" s="171" t="e">
        <f>Datasheet!AC380/AC$400-SUM(AC$422,AC434)</f>
        <v>#DIV/0!</v>
      </c>
      <c r="AD448" s="171" t="e">
        <f>Datasheet!AD380/AD$400-SUM(AD$422,AD434)</f>
        <v>#DIV/0!</v>
      </c>
      <c r="AE448" s="171" t="e">
        <f>Datasheet!AE380/AE$400-SUM(AE$422,AE434)</f>
        <v>#DIV/0!</v>
      </c>
      <c r="AF448" s="171" t="e">
        <f>Datasheet!AF380/AF$400-SUM(AF$422,AF434)</f>
        <v>#DIV/0!</v>
      </c>
      <c r="AG448" s="171" t="e">
        <f>Datasheet!AG380/AG$400-SUM(AG$422,AG434)</f>
        <v>#DIV/0!</v>
      </c>
      <c r="AH448" s="171" t="e">
        <f>Datasheet!AH380/AH$400-SUM(AH$422,AH434)</f>
        <v>#DIV/0!</v>
      </c>
      <c r="AI448" s="171" t="e">
        <f>Datasheet!AI380/AI$400-SUM(AI$422,AI434)</f>
        <v>#DIV/0!</v>
      </c>
      <c r="AJ448" s="171" t="e">
        <f>Datasheet!AJ380/AJ$400-SUM(AJ$422,AJ434)</f>
        <v>#DIV/0!</v>
      </c>
      <c r="AK448" s="171" t="e">
        <f>Datasheet!AK380/AK$400-SUM(AK$422,AK434)</f>
        <v>#DIV/0!</v>
      </c>
    </row>
    <row r="449" spans="2:37" s="9" customFormat="1" x14ac:dyDescent="0.25">
      <c r="D449" s="2"/>
      <c r="E449" s="5" t="s">
        <v>325</v>
      </c>
      <c r="F449" s="5"/>
      <c r="G449" s="5"/>
      <c r="H449" s="2" t="s">
        <v>1025</v>
      </c>
      <c r="I449" s="171">
        <f>Datasheet!I381/I$400-SUM(I$422,I435)</f>
        <v>5787.1068011266398</v>
      </c>
      <c r="J449" s="171">
        <f>Datasheet!J381/J$400-SUM(J$422,J435)</f>
        <v>6116.5502311607861</v>
      </c>
      <c r="K449" s="171">
        <f>Datasheet!K381/K$400-SUM(K$422,K435)</f>
        <v>6301.069384032553</v>
      </c>
      <c r="L449" s="171">
        <f>Datasheet!L381/L$400-SUM(L$422,L435)</f>
        <v>6693.1270115331645</v>
      </c>
      <c r="M449" s="171">
        <f>Datasheet!M381/M$400-SUM(M$422,M435)</f>
        <v>6851.5685525648678</v>
      </c>
      <c r="N449" s="171">
        <f>Datasheet!N381/N$400-SUM(N$422,N435)</f>
        <v>7451.216372083958</v>
      </c>
      <c r="O449" s="171">
        <f>Datasheet!O381/O$400-SUM(O$422,O435)</f>
        <v>7911.2079792551849</v>
      </c>
      <c r="P449" s="171">
        <f>Datasheet!P381/P$400-SUM(P$422,P435)</f>
        <v>7474.5868847406409</v>
      </c>
      <c r="Q449" s="171">
        <f>Datasheet!Q381/Q$400-SUM(Q$422,Q435)</f>
        <v>7390.8241368792351</v>
      </c>
      <c r="R449" s="171">
        <f>Datasheet!R381/R$400-SUM(R$422,R435)</f>
        <v>7332.9983629442486</v>
      </c>
      <c r="S449" s="171">
        <f>Datasheet!S381/S$400-SUM(S$422,S435)</f>
        <v>7666.5324809281356</v>
      </c>
      <c r="T449" s="171">
        <f>Datasheet!T381/T$400-SUM(T$422,T435)</f>
        <v>7977.8793031850282</v>
      </c>
      <c r="U449" s="171">
        <f>Datasheet!U381/U$400-SUM(U$422,U435)</f>
        <v>8798.7694075114086</v>
      </c>
      <c r="V449" s="171">
        <f>Datasheet!V381/V$400-SUM(V$422,V435)</f>
        <v>8368.5053542914193</v>
      </c>
      <c r="W449" s="171">
        <f>Datasheet!W381/W$400-SUM(W$422,W435)</f>
        <v>8765.0076581904177</v>
      </c>
      <c r="X449" s="171">
        <f>Datasheet!X381/X$400-SUM(X$422,X435)</f>
        <v>9309.6455855551158</v>
      </c>
      <c r="Y449" s="171">
        <f>Datasheet!Y381/Y$400-SUM(Y$422,Y435)</f>
        <v>9259.2841917409423</v>
      </c>
      <c r="Z449" s="171">
        <f>Datasheet!Z381/Z$400-SUM(Z$422,Z435)</f>
        <v>9501.0973670741914</v>
      </c>
      <c r="AA449" s="171" t="e">
        <f>Datasheet!AA381/AA$400-SUM(AA$422,AA435)</f>
        <v>#DIV/0!</v>
      </c>
      <c r="AB449" s="171" t="e">
        <f>Datasheet!AB381/AB$400-SUM(AB$422,AB435)</f>
        <v>#DIV/0!</v>
      </c>
      <c r="AC449" s="171" t="e">
        <f>Datasheet!AC381/AC$400-SUM(AC$422,AC435)</f>
        <v>#DIV/0!</v>
      </c>
      <c r="AD449" s="171" t="e">
        <f>Datasheet!AD381/AD$400-SUM(AD$422,AD435)</f>
        <v>#DIV/0!</v>
      </c>
      <c r="AE449" s="171" t="e">
        <f>Datasheet!AE381/AE$400-SUM(AE$422,AE435)</f>
        <v>#DIV/0!</v>
      </c>
      <c r="AF449" s="171" t="e">
        <f>Datasheet!AF381/AF$400-SUM(AF$422,AF435)</f>
        <v>#DIV/0!</v>
      </c>
      <c r="AG449" s="171" t="e">
        <f>Datasheet!AG381/AG$400-SUM(AG$422,AG435)</f>
        <v>#DIV/0!</v>
      </c>
      <c r="AH449" s="171" t="e">
        <f>Datasheet!AH381/AH$400-SUM(AH$422,AH435)</f>
        <v>#DIV/0!</v>
      </c>
      <c r="AI449" s="171" t="e">
        <f>Datasheet!AI381/AI$400-SUM(AI$422,AI435)</f>
        <v>#DIV/0!</v>
      </c>
      <c r="AJ449" s="171" t="e">
        <f>Datasheet!AJ381/AJ$400-SUM(AJ$422,AJ435)</f>
        <v>#DIV/0!</v>
      </c>
      <c r="AK449" s="171" t="e">
        <f>Datasheet!AK381/AK$400-SUM(AK$422,AK435)</f>
        <v>#DIV/0!</v>
      </c>
    </row>
    <row r="450" spans="2:37" s="13" customFormat="1" x14ac:dyDescent="0.25">
      <c r="C450" s="15" t="s">
        <v>419</v>
      </c>
      <c r="I450" s="236">
        <f t="shared" ref="I450:AK450" si="38">SUM(I$422,I423,I436)/SUM(I$422,I423,I436,I437)</f>
        <v>0.68432288923064488</v>
      </c>
      <c r="J450" s="236">
        <f t="shared" si="38"/>
        <v>0.67035879638354989</v>
      </c>
      <c r="K450" s="236">
        <f t="shared" si="38"/>
        <v>0.66764862656896362</v>
      </c>
      <c r="L450" s="236">
        <f t="shared" si="38"/>
        <v>0.65757717231690171</v>
      </c>
      <c r="M450" s="236">
        <f t="shared" si="38"/>
        <v>0.65619726802122758</v>
      </c>
      <c r="N450" s="236">
        <f t="shared" si="38"/>
        <v>0.63850591567064807</v>
      </c>
      <c r="O450" s="236">
        <f t="shared" si="38"/>
        <v>0.61986922148960355</v>
      </c>
      <c r="P450" s="236">
        <f t="shared" si="38"/>
        <v>0.6070706587842648</v>
      </c>
      <c r="Q450" s="236">
        <f t="shared" si="38"/>
        <v>0.60664366271203063</v>
      </c>
      <c r="R450" s="236">
        <f t="shared" si="38"/>
        <v>0.61475564375302649</v>
      </c>
      <c r="S450" s="236">
        <f t="shared" si="38"/>
        <v>0.60404697305024779</v>
      </c>
      <c r="T450" s="236">
        <f t="shared" si="38"/>
        <v>0.60313494870416795</v>
      </c>
      <c r="U450" s="236">
        <f t="shared" si="38"/>
        <v>0.58546003870938867</v>
      </c>
      <c r="V450" s="236">
        <f t="shared" si="38"/>
        <v>0.59944023834450144</v>
      </c>
      <c r="W450" s="236">
        <f t="shared" si="38"/>
        <v>0.5990949108964343</v>
      </c>
      <c r="X450" s="236">
        <f t="shared" si="38"/>
        <v>0.58775208188834172</v>
      </c>
      <c r="Y450" s="236">
        <f t="shared" si="38"/>
        <v>0.5819074640015377</v>
      </c>
      <c r="Z450" s="236">
        <f t="shared" si="38"/>
        <v>0.58856362679079255</v>
      </c>
      <c r="AA450" s="236" t="e">
        <f t="shared" si="38"/>
        <v>#DIV/0!</v>
      </c>
      <c r="AB450" s="236" t="e">
        <f t="shared" si="38"/>
        <v>#DIV/0!</v>
      </c>
      <c r="AC450" s="236" t="e">
        <f t="shared" si="38"/>
        <v>#DIV/0!</v>
      </c>
      <c r="AD450" s="236" t="e">
        <f t="shared" si="38"/>
        <v>#DIV/0!</v>
      </c>
      <c r="AE450" s="236" t="e">
        <f t="shared" si="38"/>
        <v>#DIV/0!</v>
      </c>
      <c r="AF450" s="236" t="e">
        <f t="shared" si="38"/>
        <v>#DIV/0!</v>
      </c>
      <c r="AG450" s="236" t="e">
        <f t="shared" si="38"/>
        <v>#DIV/0!</v>
      </c>
      <c r="AH450" s="236" t="e">
        <f t="shared" si="38"/>
        <v>#DIV/0!</v>
      </c>
      <c r="AI450" s="236" t="e">
        <f t="shared" si="38"/>
        <v>#DIV/0!</v>
      </c>
      <c r="AJ450" s="236" t="e">
        <f t="shared" si="38"/>
        <v>#DIV/0!</v>
      </c>
      <c r="AK450" s="236" t="e">
        <f t="shared" si="38"/>
        <v>#DIV/0!</v>
      </c>
    </row>
    <row r="451" spans="2:37" s="9" customFormat="1" x14ac:dyDescent="0.25">
      <c r="D451" s="51"/>
      <c r="E451" s="5" t="s">
        <v>314</v>
      </c>
      <c r="I451" s="138">
        <f t="shared" ref="I451:AK451" si="39">SUM(I$422,I424,I$436)/SUM(I$422,I424,I$436,I438)</f>
        <v>0.67829492805188629</v>
      </c>
      <c r="J451" s="138">
        <f t="shared" si="39"/>
        <v>0.66702055451298514</v>
      </c>
      <c r="K451" s="138">
        <f t="shared" si="39"/>
        <v>0.66551048152300107</v>
      </c>
      <c r="L451" s="138">
        <f t="shared" si="39"/>
        <v>0.65556671778639752</v>
      </c>
      <c r="M451" s="138">
        <f t="shared" si="39"/>
        <v>0.65462327469020354</v>
      </c>
      <c r="N451" s="138">
        <f t="shared" si="39"/>
        <v>0.62905626794151104</v>
      </c>
      <c r="O451" s="138">
        <f t="shared" si="39"/>
        <v>0.62083852919195881</v>
      </c>
      <c r="P451" s="138">
        <f t="shared" si="39"/>
        <v>0.59873082970433411</v>
      </c>
      <c r="Q451" s="138">
        <f t="shared" si="39"/>
        <v>0.60640417629837651</v>
      </c>
      <c r="R451" s="138">
        <f t="shared" si="39"/>
        <v>0.61606843950793599</v>
      </c>
      <c r="S451" s="138">
        <f t="shared" si="39"/>
        <v>0.60369909171262837</v>
      </c>
      <c r="T451" s="138">
        <f t="shared" si="39"/>
        <v>0.60191914922205225</v>
      </c>
      <c r="U451" s="138">
        <f t="shared" si="39"/>
        <v>0.58457023828478349</v>
      </c>
      <c r="V451" s="138">
        <f t="shared" si="39"/>
        <v>0.59640154654522992</v>
      </c>
      <c r="W451" s="138">
        <f t="shared" si="39"/>
        <v>0.59451815221417392</v>
      </c>
      <c r="X451" s="138">
        <f t="shared" si="39"/>
        <v>0.59007652059023441</v>
      </c>
      <c r="Y451" s="138">
        <f t="shared" si="39"/>
        <v>0.58441541391221419</v>
      </c>
      <c r="Z451" s="138">
        <f t="shared" si="39"/>
        <v>0.59071161512453318</v>
      </c>
      <c r="AA451" s="138" t="e">
        <f t="shared" si="39"/>
        <v>#DIV/0!</v>
      </c>
      <c r="AB451" s="138" t="e">
        <f t="shared" si="39"/>
        <v>#DIV/0!</v>
      </c>
      <c r="AC451" s="138" t="e">
        <f t="shared" si="39"/>
        <v>#DIV/0!</v>
      </c>
      <c r="AD451" s="138" t="e">
        <f t="shared" si="39"/>
        <v>#DIV/0!</v>
      </c>
      <c r="AE451" s="138" t="e">
        <f t="shared" si="39"/>
        <v>#DIV/0!</v>
      </c>
      <c r="AF451" s="138" t="e">
        <f t="shared" si="39"/>
        <v>#DIV/0!</v>
      </c>
      <c r="AG451" s="138" t="e">
        <f t="shared" si="39"/>
        <v>#DIV/0!</v>
      </c>
      <c r="AH451" s="138" t="e">
        <f t="shared" si="39"/>
        <v>#DIV/0!</v>
      </c>
      <c r="AI451" s="138" t="e">
        <f t="shared" si="39"/>
        <v>#DIV/0!</v>
      </c>
      <c r="AJ451" s="138" t="e">
        <f t="shared" si="39"/>
        <v>#DIV/0!</v>
      </c>
      <c r="AK451" s="138" t="e">
        <f t="shared" si="39"/>
        <v>#DIV/0!</v>
      </c>
    </row>
    <row r="452" spans="2:37" s="9" customFormat="1" x14ac:dyDescent="0.25">
      <c r="D452" s="51"/>
      <c r="E452" s="5" t="s">
        <v>315</v>
      </c>
      <c r="I452" s="138">
        <f t="shared" ref="I452:AK452" si="40">SUM(I$422,I425,I$436)/SUM(I$422,I425,I$436,I439)</f>
        <v>0.6812911785343535</v>
      </c>
      <c r="J452" s="138">
        <f t="shared" si="40"/>
        <v>0.66690699462027592</v>
      </c>
      <c r="K452" s="138">
        <f t="shared" si="40"/>
        <v>0.66353086190660915</v>
      </c>
      <c r="L452" s="138">
        <f t="shared" si="40"/>
        <v>0.65450630470889826</v>
      </c>
      <c r="M452" s="138">
        <f t="shared" si="40"/>
        <v>0.65034020892074196</v>
      </c>
      <c r="N452" s="138">
        <f t="shared" si="40"/>
        <v>0.62582311885430797</v>
      </c>
      <c r="O452" s="138">
        <f t="shared" si="40"/>
        <v>0.620169892158421</v>
      </c>
      <c r="P452" s="138">
        <f t="shared" si="40"/>
        <v>0.59851941952105125</v>
      </c>
      <c r="Q452" s="138">
        <f t="shared" si="40"/>
        <v>0.60966504210416639</v>
      </c>
      <c r="R452" s="138">
        <f t="shared" si="40"/>
        <v>0.61874475345711022</v>
      </c>
      <c r="S452" s="138">
        <f t="shared" si="40"/>
        <v>0.60463394488194999</v>
      </c>
      <c r="T452" s="138">
        <f t="shared" si="40"/>
        <v>0.60204026485826989</v>
      </c>
      <c r="U452" s="138">
        <f t="shared" si="40"/>
        <v>0.58628229077331717</v>
      </c>
      <c r="V452" s="138">
        <f t="shared" si="40"/>
        <v>0.59639741908914357</v>
      </c>
      <c r="W452" s="138">
        <f t="shared" si="40"/>
        <v>0.59548551273403749</v>
      </c>
      <c r="X452" s="138">
        <f t="shared" si="40"/>
        <v>0.58965019247045225</v>
      </c>
      <c r="Y452" s="138">
        <f t="shared" si="40"/>
        <v>0.58604980485134128</v>
      </c>
      <c r="Z452" s="138">
        <f t="shared" si="40"/>
        <v>0.59132459624472555</v>
      </c>
      <c r="AA452" s="138" t="e">
        <f t="shared" si="40"/>
        <v>#DIV/0!</v>
      </c>
      <c r="AB452" s="138" t="e">
        <f t="shared" si="40"/>
        <v>#DIV/0!</v>
      </c>
      <c r="AC452" s="138" t="e">
        <f t="shared" si="40"/>
        <v>#DIV/0!</v>
      </c>
      <c r="AD452" s="138" t="e">
        <f t="shared" si="40"/>
        <v>#DIV/0!</v>
      </c>
      <c r="AE452" s="138" t="e">
        <f t="shared" si="40"/>
        <v>#DIV/0!</v>
      </c>
      <c r="AF452" s="138" t="e">
        <f t="shared" si="40"/>
        <v>#DIV/0!</v>
      </c>
      <c r="AG452" s="138" t="e">
        <f t="shared" si="40"/>
        <v>#DIV/0!</v>
      </c>
      <c r="AH452" s="138" t="e">
        <f t="shared" si="40"/>
        <v>#DIV/0!</v>
      </c>
      <c r="AI452" s="138" t="e">
        <f t="shared" si="40"/>
        <v>#DIV/0!</v>
      </c>
      <c r="AJ452" s="138" t="e">
        <f t="shared" si="40"/>
        <v>#DIV/0!</v>
      </c>
      <c r="AK452" s="138" t="e">
        <f t="shared" si="40"/>
        <v>#DIV/0!</v>
      </c>
    </row>
    <row r="453" spans="2:37" s="9" customFormat="1" x14ac:dyDescent="0.25">
      <c r="D453" s="51"/>
      <c r="E453" s="5" t="s">
        <v>316</v>
      </c>
      <c r="I453" s="138">
        <f t="shared" ref="I453:AK453" si="41">SUM(I$422,I426,I$436)/SUM(I$422,I426,I$436,I440)</f>
        <v>0.67866396053611233</v>
      </c>
      <c r="J453" s="138">
        <f t="shared" si="41"/>
        <v>0.66646853932265848</v>
      </c>
      <c r="K453" s="138">
        <f t="shared" si="41"/>
        <v>0.65974646745697052</v>
      </c>
      <c r="L453" s="138">
        <f t="shared" si="41"/>
        <v>0.65186321343615217</v>
      </c>
      <c r="M453" s="138">
        <f t="shared" si="41"/>
        <v>0.64956373672098056</v>
      </c>
      <c r="N453" s="138">
        <f t="shared" si="41"/>
        <v>0.62353326182177105</v>
      </c>
      <c r="O453" s="138">
        <f t="shared" si="41"/>
        <v>0.61616450459384675</v>
      </c>
      <c r="P453" s="138">
        <f t="shared" si="41"/>
        <v>0.59500764497903269</v>
      </c>
      <c r="Q453" s="138">
        <f t="shared" si="41"/>
        <v>0.60858751951523782</v>
      </c>
      <c r="R453" s="138">
        <f t="shared" si="41"/>
        <v>0.6186326259588073</v>
      </c>
      <c r="S453" s="138">
        <f t="shared" si="41"/>
        <v>0.60163509305519314</v>
      </c>
      <c r="T453" s="138">
        <f t="shared" si="41"/>
        <v>0.6008612432608923</v>
      </c>
      <c r="U453" s="138">
        <f t="shared" si="41"/>
        <v>0.58582338782536247</v>
      </c>
      <c r="V453" s="138">
        <f t="shared" si="41"/>
        <v>0.59675607446145673</v>
      </c>
      <c r="W453" s="138">
        <f t="shared" si="41"/>
        <v>0.59533525532542586</v>
      </c>
      <c r="X453" s="138">
        <f t="shared" si="41"/>
        <v>0.58638407340537746</v>
      </c>
      <c r="Y453" s="138">
        <f t="shared" si="41"/>
        <v>0.58285093308775515</v>
      </c>
      <c r="Z453" s="138">
        <f t="shared" si="41"/>
        <v>0.5907745355402868</v>
      </c>
      <c r="AA453" s="138" t="e">
        <f t="shared" si="41"/>
        <v>#DIV/0!</v>
      </c>
      <c r="AB453" s="138" t="e">
        <f t="shared" si="41"/>
        <v>#DIV/0!</v>
      </c>
      <c r="AC453" s="138" t="e">
        <f t="shared" si="41"/>
        <v>#DIV/0!</v>
      </c>
      <c r="AD453" s="138" t="e">
        <f t="shared" si="41"/>
        <v>#DIV/0!</v>
      </c>
      <c r="AE453" s="138" t="e">
        <f t="shared" si="41"/>
        <v>#DIV/0!</v>
      </c>
      <c r="AF453" s="138" t="e">
        <f t="shared" si="41"/>
        <v>#DIV/0!</v>
      </c>
      <c r="AG453" s="138" t="e">
        <f t="shared" si="41"/>
        <v>#DIV/0!</v>
      </c>
      <c r="AH453" s="138" t="e">
        <f t="shared" si="41"/>
        <v>#DIV/0!</v>
      </c>
      <c r="AI453" s="138" t="e">
        <f t="shared" si="41"/>
        <v>#DIV/0!</v>
      </c>
      <c r="AJ453" s="138" t="e">
        <f t="shared" si="41"/>
        <v>#DIV/0!</v>
      </c>
      <c r="AK453" s="138" t="e">
        <f t="shared" si="41"/>
        <v>#DIV/0!</v>
      </c>
    </row>
    <row r="454" spans="2:37" s="9" customFormat="1" x14ac:dyDescent="0.25">
      <c r="D454" s="51"/>
      <c r="E454" s="5" t="s">
        <v>317</v>
      </c>
      <c r="I454" s="138">
        <f t="shared" ref="I454:AK454" si="42">SUM(I$422,I427,I$436)/SUM(I$422,I427,I$436,I441)</f>
        <v>0.67196651446626632</v>
      </c>
      <c r="J454" s="138">
        <f t="shared" si="42"/>
        <v>0.65196875961260115</v>
      </c>
      <c r="K454" s="138">
        <f t="shared" si="42"/>
        <v>0.6599273707265696</v>
      </c>
      <c r="L454" s="138">
        <f t="shared" si="42"/>
        <v>0.64670027484998882</v>
      </c>
      <c r="M454" s="138">
        <f t="shared" si="42"/>
        <v>0.6429919233782766</v>
      </c>
      <c r="N454" s="138">
        <f t="shared" si="42"/>
        <v>0.63339595920649039</v>
      </c>
      <c r="O454" s="138">
        <f t="shared" si="42"/>
        <v>0.61180170029147485</v>
      </c>
      <c r="P454" s="138">
        <f t="shared" si="42"/>
        <v>0.59118838465800438</v>
      </c>
      <c r="Q454" s="138">
        <f t="shared" si="42"/>
        <v>0.59946487987052111</v>
      </c>
      <c r="R454" s="138">
        <f t="shared" si="42"/>
        <v>0.60733125359667217</v>
      </c>
      <c r="S454" s="138">
        <f t="shared" si="42"/>
        <v>0.59601436839360367</v>
      </c>
      <c r="T454" s="138">
        <f t="shared" si="42"/>
        <v>0.59241449312910976</v>
      </c>
      <c r="U454" s="138">
        <f t="shared" si="42"/>
        <v>0.57286816298171483</v>
      </c>
      <c r="V454" s="138">
        <f t="shared" si="42"/>
        <v>0.58607792484454135</v>
      </c>
      <c r="W454" s="138">
        <f t="shared" si="42"/>
        <v>0.58568440511703146</v>
      </c>
      <c r="X454" s="138">
        <f t="shared" si="42"/>
        <v>0.57461781136995194</v>
      </c>
      <c r="Y454" s="138">
        <f t="shared" si="42"/>
        <v>0.57185920193060569</v>
      </c>
      <c r="Z454" s="138">
        <f t="shared" si="42"/>
        <v>0.57821855036116554</v>
      </c>
      <c r="AA454" s="138" t="e">
        <f t="shared" si="42"/>
        <v>#DIV/0!</v>
      </c>
      <c r="AB454" s="138" t="e">
        <f t="shared" si="42"/>
        <v>#DIV/0!</v>
      </c>
      <c r="AC454" s="138" t="e">
        <f t="shared" si="42"/>
        <v>#DIV/0!</v>
      </c>
      <c r="AD454" s="138" t="e">
        <f t="shared" si="42"/>
        <v>#DIV/0!</v>
      </c>
      <c r="AE454" s="138" t="e">
        <f t="shared" si="42"/>
        <v>#DIV/0!</v>
      </c>
      <c r="AF454" s="138" t="e">
        <f t="shared" si="42"/>
        <v>#DIV/0!</v>
      </c>
      <c r="AG454" s="138" t="e">
        <f t="shared" si="42"/>
        <v>#DIV/0!</v>
      </c>
      <c r="AH454" s="138" t="e">
        <f t="shared" si="42"/>
        <v>#DIV/0!</v>
      </c>
      <c r="AI454" s="138" t="e">
        <f t="shared" si="42"/>
        <v>#DIV/0!</v>
      </c>
      <c r="AJ454" s="138" t="e">
        <f t="shared" si="42"/>
        <v>#DIV/0!</v>
      </c>
      <c r="AK454" s="138" t="e">
        <f t="shared" si="42"/>
        <v>#DIV/0!</v>
      </c>
    </row>
    <row r="455" spans="2:37" s="9" customFormat="1" x14ac:dyDescent="0.25">
      <c r="D455" s="51"/>
      <c r="E455" s="5" t="s">
        <v>318</v>
      </c>
      <c r="I455" s="138">
        <f t="shared" ref="I455:AK455" si="43">SUM(I$422,I428,I$436)/SUM(I$422,I428,I$436,I442)</f>
        <v>0.6698465815174991</v>
      </c>
      <c r="J455" s="138">
        <f t="shared" si="43"/>
        <v>0.65499430029292571</v>
      </c>
      <c r="K455" s="138">
        <f t="shared" si="43"/>
        <v>0.65637864804776225</v>
      </c>
      <c r="L455" s="138">
        <f t="shared" si="43"/>
        <v>0.64363298165898508</v>
      </c>
      <c r="M455" s="138">
        <f t="shared" si="43"/>
        <v>0.64625786800486118</v>
      </c>
      <c r="N455" s="138">
        <f t="shared" si="43"/>
        <v>0.6337792702702979</v>
      </c>
      <c r="O455" s="138">
        <f t="shared" si="43"/>
        <v>0.61383785148503045</v>
      </c>
      <c r="P455" s="138">
        <f t="shared" si="43"/>
        <v>0.59138010022494092</v>
      </c>
      <c r="Q455" s="138">
        <f t="shared" si="43"/>
        <v>0.5969673350438045</v>
      </c>
      <c r="R455" s="138">
        <f t="shared" si="43"/>
        <v>0.60534801156964801</v>
      </c>
      <c r="S455" s="138">
        <f t="shared" si="43"/>
        <v>0.59288053341199032</v>
      </c>
      <c r="T455" s="138">
        <f t="shared" si="43"/>
        <v>0.58995859641235193</v>
      </c>
      <c r="U455" s="138">
        <f t="shared" si="43"/>
        <v>0.56958296820323207</v>
      </c>
      <c r="V455" s="138">
        <f t="shared" si="43"/>
        <v>0.58712335570873531</v>
      </c>
      <c r="W455" s="138">
        <f t="shared" si="43"/>
        <v>0.58622787596607506</v>
      </c>
      <c r="X455" s="138">
        <f t="shared" si="43"/>
        <v>0.57430599857254871</v>
      </c>
      <c r="Y455" s="138">
        <f t="shared" si="43"/>
        <v>0.56841386314558007</v>
      </c>
      <c r="Z455" s="138">
        <f t="shared" si="43"/>
        <v>0.57496703528838289</v>
      </c>
      <c r="AA455" s="138" t="e">
        <f t="shared" si="43"/>
        <v>#DIV/0!</v>
      </c>
      <c r="AB455" s="138" t="e">
        <f t="shared" si="43"/>
        <v>#DIV/0!</v>
      </c>
      <c r="AC455" s="138" t="e">
        <f t="shared" si="43"/>
        <v>#DIV/0!</v>
      </c>
      <c r="AD455" s="138" t="e">
        <f t="shared" si="43"/>
        <v>#DIV/0!</v>
      </c>
      <c r="AE455" s="138" t="e">
        <f t="shared" si="43"/>
        <v>#DIV/0!</v>
      </c>
      <c r="AF455" s="138" t="e">
        <f t="shared" si="43"/>
        <v>#DIV/0!</v>
      </c>
      <c r="AG455" s="138" t="e">
        <f t="shared" si="43"/>
        <v>#DIV/0!</v>
      </c>
      <c r="AH455" s="138" t="e">
        <f t="shared" si="43"/>
        <v>#DIV/0!</v>
      </c>
      <c r="AI455" s="138" t="e">
        <f t="shared" si="43"/>
        <v>#DIV/0!</v>
      </c>
      <c r="AJ455" s="138" t="e">
        <f t="shared" si="43"/>
        <v>#DIV/0!</v>
      </c>
      <c r="AK455" s="138" t="e">
        <f t="shared" si="43"/>
        <v>#DIV/0!</v>
      </c>
    </row>
    <row r="456" spans="2:37" s="9" customFormat="1" x14ac:dyDescent="0.25">
      <c r="D456" s="51"/>
      <c r="E456" s="5" t="s">
        <v>319</v>
      </c>
      <c r="I456" s="138">
        <f t="shared" ref="I456:AK456" si="44">SUM(I$422,I429,I$436)/SUM(I$422,I429,I$436,I443)</f>
        <v>0.68637591602396197</v>
      </c>
      <c r="J456" s="138">
        <f t="shared" si="44"/>
        <v>0.67141372365747831</v>
      </c>
      <c r="K456" s="138">
        <f t="shared" si="44"/>
        <v>0.67214907565750703</v>
      </c>
      <c r="L456" s="138">
        <f t="shared" si="44"/>
        <v>0.65834205275817081</v>
      </c>
      <c r="M456" s="138">
        <f t="shared" si="44"/>
        <v>0.65736704261064627</v>
      </c>
      <c r="N456" s="138">
        <f t="shared" si="44"/>
        <v>0.64685323438186138</v>
      </c>
      <c r="O456" s="138">
        <f t="shared" si="44"/>
        <v>0.62892838735658474</v>
      </c>
      <c r="P456" s="138">
        <f t="shared" si="44"/>
        <v>0.6109427252335714</v>
      </c>
      <c r="Q456" s="138">
        <f t="shared" si="44"/>
        <v>0.60812002552066047</v>
      </c>
      <c r="R456" s="138">
        <f t="shared" si="44"/>
        <v>0.61922204240161693</v>
      </c>
      <c r="S456" s="138">
        <f t="shared" si="44"/>
        <v>0.60772722787712052</v>
      </c>
      <c r="T456" s="138">
        <f t="shared" si="44"/>
        <v>0.61031320127353073</v>
      </c>
      <c r="U456" s="138">
        <f t="shared" si="44"/>
        <v>0.5915328268735458</v>
      </c>
      <c r="V456" s="138">
        <f t="shared" si="44"/>
        <v>0.60605451333297133</v>
      </c>
      <c r="W456" s="138">
        <f t="shared" si="44"/>
        <v>0.60500595039700311</v>
      </c>
      <c r="X456" s="138">
        <f t="shared" si="44"/>
        <v>0.5923887317068115</v>
      </c>
      <c r="Y456" s="138">
        <f t="shared" si="44"/>
        <v>0.58552774566127164</v>
      </c>
      <c r="Z456" s="138">
        <f t="shared" si="44"/>
        <v>0.59041374053785534</v>
      </c>
      <c r="AA456" s="138" t="e">
        <f t="shared" si="44"/>
        <v>#DIV/0!</v>
      </c>
      <c r="AB456" s="138" t="e">
        <f t="shared" si="44"/>
        <v>#DIV/0!</v>
      </c>
      <c r="AC456" s="138" t="e">
        <f t="shared" si="44"/>
        <v>#DIV/0!</v>
      </c>
      <c r="AD456" s="138" t="e">
        <f t="shared" si="44"/>
        <v>#DIV/0!</v>
      </c>
      <c r="AE456" s="138" t="e">
        <f t="shared" si="44"/>
        <v>#DIV/0!</v>
      </c>
      <c r="AF456" s="138" t="e">
        <f t="shared" si="44"/>
        <v>#DIV/0!</v>
      </c>
      <c r="AG456" s="138" t="e">
        <f t="shared" si="44"/>
        <v>#DIV/0!</v>
      </c>
      <c r="AH456" s="138" t="e">
        <f t="shared" si="44"/>
        <v>#DIV/0!</v>
      </c>
      <c r="AI456" s="138" t="e">
        <f t="shared" si="44"/>
        <v>#DIV/0!</v>
      </c>
      <c r="AJ456" s="138" t="e">
        <f t="shared" si="44"/>
        <v>#DIV/0!</v>
      </c>
      <c r="AK456" s="138" t="e">
        <f t="shared" si="44"/>
        <v>#DIV/0!</v>
      </c>
    </row>
    <row r="457" spans="2:37" s="9" customFormat="1" x14ac:dyDescent="0.25">
      <c r="D457" s="51"/>
      <c r="E457" s="5" t="s">
        <v>320</v>
      </c>
      <c r="I457" s="138">
        <f t="shared" ref="I457:AK457" si="45">SUM(I$422,I430,I$436)/SUM(I$422,I430,I$436,I444)</f>
        <v>0.70746352214048147</v>
      </c>
      <c r="J457" s="138">
        <f t="shared" si="45"/>
        <v>0.69807110789373972</v>
      </c>
      <c r="K457" s="138">
        <f t="shared" si="45"/>
        <v>0.69239392138982658</v>
      </c>
      <c r="L457" s="138">
        <f t="shared" si="45"/>
        <v>0.68234927137953205</v>
      </c>
      <c r="M457" s="138">
        <f t="shared" si="45"/>
        <v>0.68157865312348931</v>
      </c>
      <c r="N457" s="138">
        <f t="shared" si="45"/>
        <v>0.66420867478285228</v>
      </c>
      <c r="O457" s="138">
        <f t="shared" si="45"/>
        <v>0.64489232698405974</v>
      </c>
      <c r="P457" s="138">
        <f t="shared" si="45"/>
        <v>0.63222006788938034</v>
      </c>
      <c r="Q457" s="138">
        <f t="shared" si="45"/>
        <v>0.62280872255135833</v>
      </c>
      <c r="R457" s="138">
        <f t="shared" si="45"/>
        <v>0.63418758444007195</v>
      </c>
      <c r="S457" s="138">
        <f t="shared" si="45"/>
        <v>0.62413227820500383</v>
      </c>
      <c r="T457" s="138">
        <f t="shared" si="45"/>
        <v>0.62438946520104133</v>
      </c>
      <c r="U457" s="138">
        <f t="shared" si="45"/>
        <v>0.60729452175592424</v>
      </c>
      <c r="V457" s="138">
        <f t="shared" si="45"/>
        <v>0.6200363190934598</v>
      </c>
      <c r="W457" s="138">
        <f t="shared" si="45"/>
        <v>0.61922306567382235</v>
      </c>
      <c r="X457" s="138">
        <f t="shared" si="45"/>
        <v>0.60851904762185316</v>
      </c>
      <c r="Y457" s="138">
        <f t="shared" si="45"/>
        <v>0.6008680278319255</v>
      </c>
      <c r="Z457" s="138">
        <f t="shared" si="45"/>
        <v>0.60493802136102104</v>
      </c>
      <c r="AA457" s="138" t="e">
        <f t="shared" si="45"/>
        <v>#DIV/0!</v>
      </c>
      <c r="AB457" s="138" t="e">
        <f t="shared" si="45"/>
        <v>#DIV/0!</v>
      </c>
      <c r="AC457" s="138" t="e">
        <f t="shared" si="45"/>
        <v>#DIV/0!</v>
      </c>
      <c r="AD457" s="138" t="e">
        <f t="shared" si="45"/>
        <v>#DIV/0!</v>
      </c>
      <c r="AE457" s="138" t="e">
        <f t="shared" si="45"/>
        <v>#DIV/0!</v>
      </c>
      <c r="AF457" s="138" t="e">
        <f t="shared" si="45"/>
        <v>#DIV/0!</v>
      </c>
      <c r="AG457" s="138" t="e">
        <f t="shared" si="45"/>
        <v>#DIV/0!</v>
      </c>
      <c r="AH457" s="138" t="e">
        <f t="shared" si="45"/>
        <v>#DIV/0!</v>
      </c>
      <c r="AI457" s="138" t="e">
        <f t="shared" si="45"/>
        <v>#DIV/0!</v>
      </c>
      <c r="AJ457" s="138" t="e">
        <f t="shared" si="45"/>
        <v>#DIV/0!</v>
      </c>
      <c r="AK457" s="138" t="e">
        <f t="shared" si="45"/>
        <v>#DIV/0!</v>
      </c>
    </row>
    <row r="458" spans="2:37" s="9" customFormat="1" x14ac:dyDescent="0.25">
      <c r="D458" s="51"/>
      <c r="E458" s="5" t="s">
        <v>321</v>
      </c>
      <c r="I458" s="138">
        <f t="shared" ref="I458:AK458" si="46">SUM(I$422,I431,I$436)/SUM(I$422,I431,I$436,I445)</f>
        <v>0.70005082585756218</v>
      </c>
      <c r="J458" s="138">
        <f t="shared" si="46"/>
        <v>0.68963545484257494</v>
      </c>
      <c r="K458" s="138">
        <f t="shared" si="46"/>
        <v>0.68288641542097772</v>
      </c>
      <c r="L458" s="138">
        <f t="shared" si="46"/>
        <v>0.67579811039517967</v>
      </c>
      <c r="M458" s="138">
        <f t="shared" si="46"/>
        <v>0.67447968298787087</v>
      </c>
      <c r="N458" s="138">
        <f t="shared" si="46"/>
        <v>0.66078288238385441</v>
      </c>
      <c r="O458" s="138">
        <f t="shared" si="46"/>
        <v>0.63853873182983012</v>
      </c>
      <c r="P458" s="138">
        <f t="shared" si="46"/>
        <v>0.62965279051345024</v>
      </c>
      <c r="Q458" s="138">
        <f t="shared" si="46"/>
        <v>0.61731971659491602</v>
      </c>
      <c r="R458" s="138">
        <f t="shared" si="46"/>
        <v>0.62609683875862809</v>
      </c>
      <c r="S458" s="138">
        <f t="shared" si="46"/>
        <v>0.61870992746748565</v>
      </c>
      <c r="T458" s="138">
        <f t="shared" si="46"/>
        <v>0.62107329585348503</v>
      </c>
      <c r="U458" s="138">
        <f t="shared" si="46"/>
        <v>0.60433331962742109</v>
      </c>
      <c r="V458" s="138">
        <f t="shared" si="46"/>
        <v>0.61611942569777145</v>
      </c>
      <c r="W458" s="138">
        <f t="shared" si="46"/>
        <v>0.61570185859293958</v>
      </c>
      <c r="X458" s="138">
        <f t="shared" si="46"/>
        <v>0.60418501391911317</v>
      </c>
      <c r="Y458" s="138">
        <f t="shared" si="46"/>
        <v>0.59465319419452167</v>
      </c>
      <c r="Z458" s="138">
        <f t="shared" si="46"/>
        <v>0.60071808867966514</v>
      </c>
      <c r="AA458" s="138" t="e">
        <f t="shared" si="46"/>
        <v>#DIV/0!</v>
      </c>
      <c r="AB458" s="138" t="e">
        <f t="shared" si="46"/>
        <v>#DIV/0!</v>
      </c>
      <c r="AC458" s="138" t="e">
        <f t="shared" si="46"/>
        <v>#DIV/0!</v>
      </c>
      <c r="AD458" s="138" t="e">
        <f t="shared" si="46"/>
        <v>#DIV/0!</v>
      </c>
      <c r="AE458" s="138" t="e">
        <f t="shared" si="46"/>
        <v>#DIV/0!</v>
      </c>
      <c r="AF458" s="138" t="e">
        <f t="shared" si="46"/>
        <v>#DIV/0!</v>
      </c>
      <c r="AG458" s="138" t="e">
        <f t="shared" si="46"/>
        <v>#DIV/0!</v>
      </c>
      <c r="AH458" s="138" t="e">
        <f t="shared" si="46"/>
        <v>#DIV/0!</v>
      </c>
      <c r="AI458" s="138" t="e">
        <f t="shared" si="46"/>
        <v>#DIV/0!</v>
      </c>
      <c r="AJ458" s="138" t="e">
        <f t="shared" si="46"/>
        <v>#DIV/0!</v>
      </c>
      <c r="AK458" s="138" t="e">
        <f t="shared" si="46"/>
        <v>#DIV/0!</v>
      </c>
    </row>
    <row r="459" spans="2:37" s="9" customFormat="1" x14ac:dyDescent="0.25">
      <c r="D459" s="51"/>
      <c r="E459" s="5" t="s">
        <v>322</v>
      </c>
      <c r="I459" s="138">
        <f t="shared" ref="I459:AK459" si="47">SUM(I$422,I432,I$436)/SUM(I$422,I432,I$436,I446)</f>
        <v>0.68798187809936884</v>
      </c>
      <c r="J459" s="138">
        <f t="shared" si="47"/>
        <v>0.67327857460807916</v>
      </c>
      <c r="K459" s="138">
        <f t="shared" si="47"/>
        <v>0.66908032195592593</v>
      </c>
      <c r="L459" s="138">
        <f t="shared" si="47"/>
        <v>0.66069982013830564</v>
      </c>
      <c r="M459" s="138">
        <f t="shared" si="47"/>
        <v>0.65759633307274157</v>
      </c>
      <c r="N459" s="138">
        <f t="shared" si="47"/>
        <v>0.64361024803797229</v>
      </c>
      <c r="O459" s="138">
        <f t="shared" si="47"/>
        <v>0.6192421736207252</v>
      </c>
      <c r="P459" s="138">
        <f t="shared" si="47"/>
        <v>0.61242102304764179</v>
      </c>
      <c r="Q459" s="138">
        <f t="shared" si="47"/>
        <v>0.60416406754291041</v>
      </c>
      <c r="R459" s="138">
        <f t="shared" si="47"/>
        <v>0.60856373396855901</v>
      </c>
      <c r="S459" s="138">
        <f t="shared" si="47"/>
        <v>0.60304133310708574</v>
      </c>
      <c r="T459" s="138">
        <f t="shared" si="47"/>
        <v>0.60330030290969439</v>
      </c>
      <c r="U459" s="138">
        <f t="shared" si="47"/>
        <v>0.58673593703173832</v>
      </c>
      <c r="V459" s="138">
        <f t="shared" si="47"/>
        <v>0.60094785942327145</v>
      </c>
      <c r="W459" s="138">
        <f t="shared" si="47"/>
        <v>0.60207044067835991</v>
      </c>
      <c r="X459" s="138">
        <f t="shared" si="47"/>
        <v>0.58836274218505358</v>
      </c>
      <c r="Y459" s="138">
        <f t="shared" si="47"/>
        <v>0.58385813519719798</v>
      </c>
      <c r="Z459" s="138">
        <f t="shared" si="47"/>
        <v>0.58977164261990145</v>
      </c>
      <c r="AA459" s="138" t="e">
        <f t="shared" si="47"/>
        <v>#DIV/0!</v>
      </c>
      <c r="AB459" s="138" t="e">
        <f t="shared" si="47"/>
        <v>#DIV/0!</v>
      </c>
      <c r="AC459" s="138" t="e">
        <f t="shared" si="47"/>
        <v>#DIV/0!</v>
      </c>
      <c r="AD459" s="138" t="e">
        <f t="shared" si="47"/>
        <v>#DIV/0!</v>
      </c>
      <c r="AE459" s="138" t="e">
        <f t="shared" si="47"/>
        <v>#DIV/0!</v>
      </c>
      <c r="AF459" s="138" t="e">
        <f t="shared" si="47"/>
        <v>#DIV/0!</v>
      </c>
      <c r="AG459" s="138" t="e">
        <f t="shared" si="47"/>
        <v>#DIV/0!</v>
      </c>
      <c r="AH459" s="138" t="e">
        <f t="shared" si="47"/>
        <v>#DIV/0!</v>
      </c>
      <c r="AI459" s="138" t="e">
        <f t="shared" si="47"/>
        <v>#DIV/0!</v>
      </c>
      <c r="AJ459" s="138" t="e">
        <f t="shared" si="47"/>
        <v>#DIV/0!</v>
      </c>
      <c r="AK459" s="138" t="e">
        <f t="shared" si="47"/>
        <v>#DIV/0!</v>
      </c>
    </row>
    <row r="460" spans="2:37" s="9" customFormat="1" x14ac:dyDescent="0.25">
      <c r="D460" s="51"/>
      <c r="E460" s="5" t="s">
        <v>323</v>
      </c>
      <c r="I460" s="138">
        <f t="shared" ref="I460:AK460" si="48">SUM(I$422,I433,I$436)/SUM(I$422,I433,I$436,I447)</f>
        <v>0.67975574322557697</v>
      </c>
      <c r="J460" s="138">
        <f t="shared" si="48"/>
        <v>0.66449466177549732</v>
      </c>
      <c r="K460" s="138">
        <f t="shared" si="48"/>
        <v>0.66235708786189096</v>
      </c>
      <c r="L460" s="138">
        <f t="shared" si="48"/>
        <v>0.65494900720321247</v>
      </c>
      <c r="M460" s="138">
        <f t="shared" si="48"/>
        <v>0.65390222659764241</v>
      </c>
      <c r="N460" s="138">
        <f t="shared" si="48"/>
        <v>0.63335908763872195</v>
      </c>
      <c r="O460" s="138">
        <f t="shared" si="48"/>
        <v>0.61064694146357101</v>
      </c>
      <c r="P460" s="138">
        <f t="shared" si="48"/>
        <v>0.60923712256000073</v>
      </c>
      <c r="Q460" s="138">
        <f t="shared" si="48"/>
        <v>0.60201878762762873</v>
      </c>
      <c r="R460" s="138">
        <f t="shared" si="48"/>
        <v>0.60837251132350434</v>
      </c>
      <c r="S460" s="138">
        <f t="shared" si="48"/>
        <v>0.59981264338196993</v>
      </c>
      <c r="T460" s="138">
        <f t="shared" si="48"/>
        <v>0.59593895286551712</v>
      </c>
      <c r="U460" s="138">
        <f t="shared" si="48"/>
        <v>0.57957953729828304</v>
      </c>
      <c r="V460" s="138">
        <f t="shared" si="48"/>
        <v>0.59481576622770549</v>
      </c>
      <c r="W460" s="138">
        <f t="shared" si="48"/>
        <v>0.59665967492205685</v>
      </c>
      <c r="X460" s="138">
        <f t="shared" si="48"/>
        <v>0.58343037942280762</v>
      </c>
      <c r="Y460" s="138">
        <f t="shared" si="48"/>
        <v>0.57640542556932683</v>
      </c>
      <c r="Z460" s="138">
        <f t="shared" si="48"/>
        <v>0.58033578592178658</v>
      </c>
      <c r="AA460" s="138" t="e">
        <f t="shared" si="48"/>
        <v>#DIV/0!</v>
      </c>
      <c r="AB460" s="138" t="e">
        <f t="shared" si="48"/>
        <v>#DIV/0!</v>
      </c>
      <c r="AC460" s="138" t="e">
        <f t="shared" si="48"/>
        <v>#DIV/0!</v>
      </c>
      <c r="AD460" s="138" t="e">
        <f t="shared" si="48"/>
        <v>#DIV/0!</v>
      </c>
      <c r="AE460" s="138" t="e">
        <f t="shared" si="48"/>
        <v>#DIV/0!</v>
      </c>
      <c r="AF460" s="138" t="e">
        <f t="shared" si="48"/>
        <v>#DIV/0!</v>
      </c>
      <c r="AG460" s="138" t="e">
        <f t="shared" si="48"/>
        <v>#DIV/0!</v>
      </c>
      <c r="AH460" s="138" t="e">
        <f t="shared" si="48"/>
        <v>#DIV/0!</v>
      </c>
      <c r="AI460" s="138" t="e">
        <f t="shared" si="48"/>
        <v>#DIV/0!</v>
      </c>
      <c r="AJ460" s="138" t="e">
        <f t="shared" si="48"/>
        <v>#DIV/0!</v>
      </c>
      <c r="AK460" s="138" t="e">
        <f t="shared" si="48"/>
        <v>#DIV/0!</v>
      </c>
    </row>
    <row r="461" spans="2:37" s="9" customFormat="1" x14ac:dyDescent="0.25">
      <c r="D461" s="51"/>
      <c r="E461" s="5" t="s">
        <v>324</v>
      </c>
      <c r="I461" s="138">
        <f t="shared" ref="I461:AK461" si="49">SUM(I$422,I434,I$436)/SUM(I$422,I434,I$436,I448)</f>
        <v>0.67817485660209553</v>
      </c>
      <c r="J461" s="138">
        <f t="shared" si="49"/>
        <v>0.6638338117912066</v>
      </c>
      <c r="K461" s="138">
        <f t="shared" si="49"/>
        <v>0.65753492665562197</v>
      </c>
      <c r="L461" s="138">
        <f t="shared" si="49"/>
        <v>0.64707420446471908</v>
      </c>
      <c r="M461" s="138">
        <f t="shared" si="49"/>
        <v>0.64788414687775298</v>
      </c>
      <c r="N461" s="138">
        <f t="shared" si="49"/>
        <v>0.62872311537047598</v>
      </c>
      <c r="O461" s="138">
        <f t="shared" si="49"/>
        <v>0.60186233362027131</v>
      </c>
      <c r="P461" s="138">
        <f t="shared" si="49"/>
        <v>0.59942968936954977</v>
      </c>
      <c r="Q461" s="138">
        <f t="shared" si="49"/>
        <v>0.59465294510048905</v>
      </c>
      <c r="R461" s="138">
        <f t="shared" si="49"/>
        <v>0.60067734243670645</v>
      </c>
      <c r="S461" s="138">
        <f t="shared" si="49"/>
        <v>0.59421756212135524</v>
      </c>
      <c r="T461" s="138">
        <f t="shared" si="49"/>
        <v>0.58950785922941373</v>
      </c>
      <c r="U461" s="138">
        <f t="shared" si="49"/>
        <v>0.57012391771021276</v>
      </c>
      <c r="V461" s="138">
        <f t="shared" si="49"/>
        <v>0.58598668056464798</v>
      </c>
      <c r="W461" s="138">
        <f t="shared" si="49"/>
        <v>0.58754712689957422</v>
      </c>
      <c r="X461" s="138">
        <f t="shared" si="49"/>
        <v>0.57186536816869227</v>
      </c>
      <c r="Y461" s="138">
        <f t="shared" si="49"/>
        <v>0.56391189999876612</v>
      </c>
      <c r="Z461" s="138">
        <f t="shared" si="49"/>
        <v>0.58335852149379175</v>
      </c>
      <c r="AA461" s="138" t="e">
        <f t="shared" si="49"/>
        <v>#DIV/0!</v>
      </c>
      <c r="AB461" s="138" t="e">
        <f t="shared" si="49"/>
        <v>#DIV/0!</v>
      </c>
      <c r="AC461" s="138" t="e">
        <f t="shared" si="49"/>
        <v>#DIV/0!</v>
      </c>
      <c r="AD461" s="138" t="e">
        <f t="shared" si="49"/>
        <v>#DIV/0!</v>
      </c>
      <c r="AE461" s="138" t="e">
        <f t="shared" si="49"/>
        <v>#DIV/0!</v>
      </c>
      <c r="AF461" s="138" t="e">
        <f t="shared" si="49"/>
        <v>#DIV/0!</v>
      </c>
      <c r="AG461" s="138" t="e">
        <f t="shared" si="49"/>
        <v>#DIV/0!</v>
      </c>
      <c r="AH461" s="138" t="e">
        <f t="shared" si="49"/>
        <v>#DIV/0!</v>
      </c>
      <c r="AI461" s="138" t="e">
        <f t="shared" si="49"/>
        <v>#DIV/0!</v>
      </c>
      <c r="AJ461" s="138" t="e">
        <f t="shared" si="49"/>
        <v>#DIV/0!</v>
      </c>
      <c r="AK461" s="138" t="e">
        <f t="shared" si="49"/>
        <v>#DIV/0!</v>
      </c>
    </row>
    <row r="462" spans="2:37" s="9" customFormat="1" x14ac:dyDescent="0.25">
      <c r="D462" s="51"/>
      <c r="E462" s="5" t="s">
        <v>325</v>
      </c>
      <c r="I462" s="138">
        <f t="shared" ref="I462:AK462" si="50">SUM(I$422,I435,I$436)/SUM(I$422,I435,I$436,I449)</f>
        <v>0.679951329823971</v>
      </c>
      <c r="J462" s="138">
        <f t="shared" si="50"/>
        <v>0.66434905409378098</v>
      </c>
      <c r="K462" s="138">
        <f t="shared" si="50"/>
        <v>0.65988093570115913</v>
      </c>
      <c r="L462" s="138">
        <f t="shared" si="50"/>
        <v>0.64902556718760607</v>
      </c>
      <c r="M462" s="138">
        <f t="shared" si="50"/>
        <v>0.64698228341731967</v>
      </c>
      <c r="N462" s="138">
        <f t="shared" si="50"/>
        <v>0.62705162037810447</v>
      </c>
      <c r="O462" s="138">
        <f t="shared" si="50"/>
        <v>0.59955837741927642</v>
      </c>
      <c r="P462" s="138">
        <f t="shared" si="50"/>
        <v>0.60519949682913254</v>
      </c>
      <c r="Q462" s="138">
        <f t="shared" si="50"/>
        <v>0.60243724548259359</v>
      </c>
      <c r="R462" s="138">
        <f t="shared" si="50"/>
        <v>0.60564421765430942</v>
      </c>
      <c r="S462" s="138">
        <f t="shared" si="50"/>
        <v>0.59342732227178896</v>
      </c>
      <c r="T462" s="138">
        <f t="shared" si="50"/>
        <v>0.59516296291457504</v>
      </c>
      <c r="U462" s="138">
        <f t="shared" si="50"/>
        <v>0.57523782338591956</v>
      </c>
      <c r="V462" s="138">
        <f t="shared" si="50"/>
        <v>0.59585139012571009</v>
      </c>
      <c r="W462" s="138">
        <f t="shared" si="50"/>
        <v>0.5947380916119126</v>
      </c>
      <c r="X462" s="138">
        <f t="shared" si="50"/>
        <v>0.57887570280503309</v>
      </c>
      <c r="Y462" s="138">
        <f t="shared" si="50"/>
        <v>0.57474103997351123</v>
      </c>
      <c r="Z462" s="138">
        <f t="shared" si="50"/>
        <v>0.58049770753534624</v>
      </c>
      <c r="AA462" s="138" t="e">
        <f t="shared" si="50"/>
        <v>#DIV/0!</v>
      </c>
      <c r="AB462" s="138" t="e">
        <f t="shared" si="50"/>
        <v>#DIV/0!</v>
      </c>
      <c r="AC462" s="138" t="e">
        <f t="shared" si="50"/>
        <v>#DIV/0!</v>
      </c>
      <c r="AD462" s="138" t="e">
        <f t="shared" si="50"/>
        <v>#DIV/0!</v>
      </c>
      <c r="AE462" s="138" t="e">
        <f t="shared" si="50"/>
        <v>#DIV/0!</v>
      </c>
      <c r="AF462" s="138" t="e">
        <f t="shared" si="50"/>
        <v>#DIV/0!</v>
      </c>
      <c r="AG462" s="138" t="e">
        <f t="shared" si="50"/>
        <v>#DIV/0!</v>
      </c>
      <c r="AH462" s="138" t="e">
        <f t="shared" si="50"/>
        <v>#DIV/0!</v>
      </c>
      <c r="AI462" s="138" t="e">
        <f t="shared" si="50"/>
        <v>#DIV/0!</v>
      </c>
      <c r="AJ462" s="138" t="e">
        <f t="shared" si="50"/>
        <v>#DIV/0!</v>
      </c>
      <c r="AK462" s="138" t="e">
        <f t="shared" si="50"/>
        <v>#DIV/0!</v>
      </c>
    </row>
    <row r="463" spans="2:37" s="5" customFormat="1" x14ac:dyDescent="0.25">
      <c r="B463" s="66"/>
      <c r="D463" s="5" t="s">
        <v>991</v>
      </c>
    </row>
    <row r="464" spans="2:37" s="9" customFormat="1" x14ac:dyDescent="0.25">
      <c r="B464" s="9" t="s">
        <v>18</v>
      </c>
      <c r="D464" s="51"/>
      <c r="E464" s="9" t="s">
        <v>993</v>
      </c>
      <c r="I464" s="172"/>
      <c r="J464" s="172"/>
      <c r="K464" s="172"/>
      <c r="L464" s="172">
        <f>L1409</f>
        <v>0.68</v>
      </c>
      <c r="M464" s="172"/>
      <c r="N464" s="172"/>
      <c r="O464" s="86"/>
      <c r="P464" s="86"/>
      <c r="Q464" s="86"/>
      <c r="R464" s="86"/>
      <c r="S464" s="86"/>
      <c r="T464" s="86"/>
      <c r="U464" s="86"/>
      <c r="V464" s="86"/>
      <c r="W464" s="86"/>
      <c r="X464" s="86"/>
      <c r="Y464" s="86"/>
      <c r="Z464" s="86"/>
      <c r="AA464" s="97"/>
      <c r="AB464" s="97"/>
      <c r="AC464" s="97"/>
      <c r="AD464" s="97"/>
      <c r="AE464" s="97"/>
      <c r="AF464" s="97"/>
      <c r="AG464" s="97"/>
      <c r="AH464" s="97"/>
      <c r="AI464" s="97"/>
      <c r="AJ464" s="97"/>
      <c r="AK464" s="97"/>
    </row>
    <row r="465" spans="1:37" s="9" customFormat="1" x14ac:dyDescent="0.25">
      <c r="D465" s="51"/>
      <c r="E465" s="9" t="s">
        <v>992</v>
      </c>
      <c r="I465" s="86"/>
      <c r="J465" s="86"/>
      <c r="K465" s="86"/>
      <c r="L465" s="86"/>
      <c r="M465" s="86"/>
      <c r="N465" s="86"/>
      <c r="O465" s="86"/>
      <c r="P465" s="86"/>
      <c r="Q465" s="86"/>
      <c r="R465" s="86"/>
      <c r="S465" s="86"/>
      <c r="T465" s="86"/>
      <c r="U465" s="172">
        <f>U1411</f>
        <v>0.62</v>
      </c>
      <c r="V465" s="172"/>
      <c r="W465" s="86"/>
      <c r="X465" s="86"/>
      <c r="Y465" s="86"/>
      <c r="Z465" s="86"/>
      <c r="AA465" s="97"/>
      <c r="AB465" s="97"/>
      <c r="AC465" s="97"/>
      <c r="AD465" s="97"/>
      <c r="AE465" s="97"/>
      <c r="AF465" s="97"/>
      <c r="AG465" s="97"/>
      <c r="AH465" s="97"/>
      <c r="AI465" s="97"/>
      <c r="AJ465" s="97"/>
      <c r="AK465" s="97"/>
    </row>
    <row r="466" spans="1:37" s="92" customFormat="1" x14ac:dyDescent="0.25"/>
    <row r="467" spans="1:37" s="98" customFormat="1" ht="17.25" x14ac:dyDescent="0.3">
      <c r="A467" s="98" t="s">
        <v>408</v>
      </c>
    </row>
    <row r="468" spans="1:37" x14ac:dyDescent="0.25">
      <c r="B468" s="64" t="s">
        <v>33</v>
      </c>
      <c r="C468" t="s">
        <v>336</v>
      </c>
    </row>
    <row r="469" spans="1:37" x14ac:dyDescent="0.25">
      <c r="B469" s="64" t="s">
        <v>626</v>
      </c>
      <c r="C469" t="s">
        <v>1333</v>
      </c>
    </row>
    <row r="470" spans="1:37" s="223" customFormat="1" x14ac:dyDescent="0.25">
      <c r="B470" s="64"/>
      <c r="D470" s="223" t="s">
        <v>1331</v>
      </c>
    </row>
    <row r="471" spans="1:37" s="223" customFormat="1" x14ac:dyDescent="0.25">
      <c r="B471" s="64"/>
      <c r="D471" s="223" t="s">
        <v>1332</v>
      </c>
    </row>
    <row r="472" spans="1:37" s="223" customFormat="1" x14ac:dyDescent="0.25">
      <c r="B472" s="64"/>
      <c r="D472" s="223" t="s">
        <v>1593</v>
      </c>
    </row>
    <row r="473" spans="1:37" s="223" customFormat="1" x14ac:dyDescent="0.25">
      <c r="B473" s="64"/>
      <c r="D473" s="223" t="s">
        <v>1594</v>
      </c>
    </row>
    <row r="474" spans="1:37" x14ac:dyDescent="0.25">
      <c r="B474" s="64" t="s">
        <v>420</v>
      </c>
      <c r="C474" t="s">
        <v>1595</v>
      </c>
    </row>
    <row r="475" spans="1:37" x14ac:dyDescent="0.25">
      <c r="B475" s="64" t="s">
        <v>429</v>
      </c>
      <c r="C475" s="195" t="s">
        <v>5</v>
      </c>
    </row>
    <row r="476" spans="1:37" x14ac:dyDescent="0.25">
      <c r="B476" s="64"/>
      <c r="C476" s="195" t="s">
        <v>1456</v>
      </c>
    </row>
    <row r="477" spans="1:37" x14ac:dyDescent="0.25">
      <c r="B477" s="64"/>
      <c r="C477" s="195" t="s">
        <v>1459</v>
      </c>
    </row>
    <row r="478" spans="1:37" s="223" customFormat="1" x14ac:dyDescent="0.25">
      <c r="B478" s="64"/>
      <c r="C478" s="195" t="s">
        <v>361</v>
      </c>
    </row>
    <row r="479" spans="1:37" x14ac:dyDescent="0.25">
      <c r="B479" s="64" t="s">
        <v>421</v>
      </c>
      <c r="C479" s="168" t="s">
        <v>1334</v>
      </c>
    </row>
    <row r="480" spans="1:37" x14ac:dyDescent="0.25">
      <c r="B480" s="64" t="s">
        <v>425</v>
      </c>
      <c r="C480" s="168" t="s">
        <v>1335</v>
      </c>
    </row>
    <row r="481" spans="2:3" s="223" customFormat="1" x14ac:dyDescent="0.25">
      <c r="B481" s="64"/>
      <c r="C481" s="168" t="s">
        <v>1336</v>
      </c>
    </row>
    <row r="482" spans="2:3" s="223" customFormat="1" x14ac:dyDescent="0.25">
      <c r="B482" s="64"/>
      <c r="C482" s="168" t="s">
        <v>1338</v>
      </c>
    </row>
    <row r="483" spans="2:3" s="223" customFormat="1" x14ac:dyDescent="0.25">
      <c r="B483" s="64"/>
      <c r="C483" s="168" t="s">
        <v>1340</v>
      </c>
    </row>
    <row r="484" spans="2:3" s="223" customFormat="1" x14ac:dyDescent="0.25">
      <c r="B484" s="64"/>
      <c r="C484" s="168" t="s">
        <v>1339</v>
      </c>
    </row>
    <row r="485" spans="2:3" s="223" customFormat="1" x14ac:dyDescent="0.25">
      <c r="B485" s="64"/>
      <c r="C485" s="168" t="s">
        <v>1341</v>
      </c>
    </row>
    <row r="486" spans="2:3" x14ac:dyDescent="0.25">
      <c r="B486" s="64" t="s">
        <v>333</v>
      </c>
      <c r="C486" t="s">
        <v>1337</v>
      </c>
    </row>
    <row r="487" spans="2:3" s="121" customFormat="1" ht="15.75" thickBot="1" x14ac:dyDescent="0.3">
      <c r="B487" s="130" t="s">
        <v>334</v>
      </c>
      <c r="C487" s="121" t="s">
        <v>1327</v>
      </c>
    </row>
    <row r="488" spans="2:3" s="5" customFormat="1" ht="15.75" thickTop="1" x14ac:dyDescent="0.25">
      <c r="B488" s="71"/>
    </row>
    <row r="489" spans="2:3" s="5" customFormat="1" x14ac:dyDescent="0.25">
      <c r="B489" s="71"/>
    </row>
    <row r="490" spans="2:3" s="5" customFormat="1" x14ac:dyDescent="0.25">
      <c r="B490" s="71"/>
    </row>
    <row r="491" spans="2:3" s="5" customFormat="1" x14ac:dyDescent="0.25">
      <c r="B491" s="71"/>
    </row>
    <row r="492" spans="2:3" s="5" customFormat="1" x14ac:dyDescent="0.25">
      <c r="B492" s="71"/>
    </row>
    <row r="493" spans="2:3" s="5" customFormat="1" x14ac:dyDescent="0.25">
      <c r="B493" s="71"/>
    </row>
    <row r="494" spans="2:3" s="5" customFormat="1" x14ac:dyDescent="0.25">
      <c r="B494" s="71"/>
    </row>
    <row r="495" spans="2:3" s="5" customFormat="1" x14ac:dyDescent="0.25">
      <c r="B495" s="71"/>
    </row>
    <row r="496" spans="2:3" s="5" customFormat="1" x14ac:dyDescent="0.25">
      <c r="B496" s="71"/>
    </row>
    <row r="497" spans="2:37" s="5" customFormat="1" x14ac:dyDescent="0.25">
      <c r="B497" s="71"/>
    </row>
    <row r="498" spans="2:37" s="5" customFormat="1" x14ac:dyDescent="0.25">
      <c r="B498" s="71"/>
    </row>
    <row r="499" spans="2:37" s="5" customFormat="1" x14ac:dyDescent="0.25">
      <c r="B499" s="71"/>
    </row>
    <row r="500" spans="2:37" s="5" customFormat="1" x14ac:dyDescent="0.25">
      <c r="B500" s="71"/>
    </row>
    <row r="501" spans="2:37" s="5" customFormat="1" x14ac:dyDescent="0.25">
      <c r="B501" s="71"/>
    </row>
    <row r="502" spans="2:37" s="5" customFormat="1" x14ac:dyDescent="0.25">
      <c r="B502" s="71"/>
    </row>
    <row r="503" spans="2:37" s="5" customFormat="1" x14ac:dyDescent="0.25">
      <c r="B503" s="66" t="s">
        <v>34</v>
      </c>
      <c r="C503" s="5" t="s">
        <v>1326</v>
      </c>
      <c r="H503" s="5" t="s">
        <v>1015</v>
      </c>
      <c r="I503" s="171">
        <f>Datasheet!I103</f>
        <v>8151</v>
      </c>
      <c r="J503" s="171">
        <f>Datasheet!J103</f>
        <v>8338</v>
      </c>
      <c r="K503" s="171">
        <f>Datasheet!K103</f>
        <v>8659</v>
      </c>
      <c r="L503" s="171">
        <f>Datasheet!L103</f>
        <v>8815</v>
      </c>
      <c r="M503" s="171">
        <f>Datasheet!M103</f>
        <v>9072</v>
      </c>
      <c r="N503" s="171">
        <f>Datasheet!N103</f>
        <v>9238</v>
      </c>
      <c r="O503" s="171">
        <f>Datasheet!O103</f>
        <v>9403</v>
      </c>
      <c r="P503" s="171">
        <f>Datasheet!P103</f>
        <v>9584</v>
      </c>
      <c r="Q503" s="171">
        <f>Datasheet!Q103</f>
        <v>9754</v>
      </c>
      <c r="R503" s="171">
        <f>Datasheet!R103</f>
        <v>9822</v>
      </c>
      <c r="S503" s="171">
        <f>Datasheet!S103</f>
        <v>9889</v>
      </c>
      <c r="T503" s="171">
        <f>Datasheet!T103</f>
        <v>9952</v>
      </c>
      <c r="U503" s="171">
        <f>Datasheet!U103</f>
        <v>10058</v>
      </c>
      <c r="V503" s="171">
        <f>Datasheet!V103</f>
        <v>10185</v>
      </c>
      <c r="W503" s="171">
        <f>Datasheet!W103</f>
        <v>10318</v>
      </c>
      <c r="X503" s="171">
        <f>Datasheet!X103</f>
        <v>10444</v>
      </c>
      <c r="Y503" s="171">
        <f>Datasheet!Y103</f>
        <v>10623</v>
      </c>
      <c r="Z503" s="171">
        <f>Datasheet!Z103</f>
        <v>10841</v>
      </c>
      <c r="AA503" s="171">
        <f>Datasheet!AA103</f>
        <v>11063</v>
      </c>
      <c r="AB503" s="171">
        <f>Datasheet!AB103</f>
        <v>11063</v>
      </c>
      <c r="AC503" s="171">
        <f>Datasheet!AC103</f>
        <v>11063</v>
      </c>
      <c r="AD503" s="171">
        <f>Datasheet!AD103</f>
        <v>11063</v>
      </c>
      <c r="AE503" s="171">
        <f>Datasheet!AE103</f>
        <v>11063</v>
      </c>
      <c r="AF503" s="171">
        <f>Datasheet!AF103</f>
        <v>11063</v>
      </c>
      <c r="AG503" s="171">
        <f>Datasheet!AG103</f>
        <v>11063</v>
      </c>
      <c r="AH503" s="171">
        <f>Datasheet!AH103</f>
        <v>11063</v>
      </c>
      <c r="AI503" s="171">
        <f>Datasheet!AI103</f>
        <v>11063</v>
      </c>
      <c r="AJ503" s="171">
        <f>Datasheet!AJ103</f>
        <v>11063</v>
      </c>
      <c r="AK503" s="171">
        <f>Datasheet!AK103</f>
        <v>11063</v>
      </c>
    </row>
    <row r="504" spans="2:37" s="186" customFormat="1" x14ac:dyDescent="0.25">
      <c r="B504" s="182"/>
      <c r="E504" s="186" t="s">
        <v>1596</v>
      </c>
      <c r="H504" s="186" t="s">
        <v>1015</v>
      </c>
      <c r="I504" s="188"/>
      <c r="J504" s="188"/>
      <c r="K504" s="188"/>
      <c r="L504" s="188"/>
      <c r="M504" s="188"/>
      <c r="N504" s="188"/>
      <c r="O504" s="188"/>
      <c r="P504" s="188"/>
      <c r="Q504" s="188">
        <f>Datasheet!Q624+Datasheet!Q625-Q715-Datasheet!Q108</f>
        <v>9632</v>
      </c>
      <c r="R504" s="188">
        <f>Datasheet!R624+Datasheet!R625-R715-Datasheet!R108</f>
        <v>9867</v>
      </c>
      <c r="S504" s="188">
        <f>Datasheet!S624+Datasheet!S625-S715-Datasheet!S108</f>
        <v>10154</v>
      </c>
      <c r="T504" s="188">
        <f>Datasheet!T624+Datasheet!T625-T715-Datasheet!T108</f>
        <v>10311</v>
      </c>
      <c r="U504" s="188">
        <f>Datasheet!U624+Datasheet!U625-U715-Datasheet!U108</f>
        <v>10521</v>
      </c>
      <c r="V504" s="188">
        <f>Datasheet!V624+Datasheet!V625-V715-Datasheet!V108</f>
        <v>10618</v>
      </c>
      <c r="W504" s="188">
        <f>Datasheet!W624+Datasheet!W625-W715-Datasheet!W108</f>
        <v>10770</v>
      </c>
      <c r="X504" s="188">
        <f>Datasheet!X624+Datasheet!X625-X715-Datasheet!X108</f>
        <v>10885</v>
      </c>
      <c r="Y504" s="188">
        <f>Datasheet!Y624+Datasheet!Y625-Y715-Datasheet!Y108</f>
        <v>10913</v>
      </c>
      <c r="Z504" s="188">
        <f>Datasheet!Z624+Datasheet!Z625-Z715-Datasheet!Z108</f>
        <v>11012</v>
      </c>
      <c r="AA504" s="188">
        <f>Datasheet!AA624+Datasheet!AA625-AA715-Datasheet!AA108</f>
        <v>-2564</v>
      </c>
      <c r="AB504" s="188">
        <f>Datasheet!AB624+Datasheet!AB625-AB715-Datasheet!AB108</f>
        <v>-2564</v>
      </c>
      <c r="AC504" s="188">
        <f>Datasheet!AC624+Datasheet!AC625-AC715-Datasheet!AC108</f>
        <v>-2564</v>
      </c>
      <c r="AD504" s="188">
        <f>Datasheet!AD624+Datasheet!AD625-AD715-Datasheet!AD108</f>
        <v>-2564</v>
      </c>
      <c r="AE504" s="188">
        <f>Datasheet!AE624+Datasheet!AE625-AE715-Datasheet!AE108</f>
        <v>-2564</v>
      </c>
      <c r="AF504" s="188">
        <f>Datasheet!AF624+Datasheet!AF625-AF715-Datasheet!AF108</f>
        <v>-2564</v>
      </c>
      <c r="AG504" s="188">
        <f>Datasheet!AG624+Datasheet!AG625-AG715-Datasheet!AG108</f>
        <v>-2564</v>
      </c>
      <c r="AH504" s="188">
        <f>Datasheet!AH624+Datasheet!AH625-AH715-Datasheet!AH108</f>
        <v>-2564</v>
      </c>
      <c r="AI504" s="188">
        <f>Datasheet!AI624+Datasheet!AI625-AI715-Datasheet!AI108</f>
        <v>-2564</v>
      </c>
      <c r="AJ504" s="188">
        <f>Datasheet!AJ624+Datasheet!AJ625-AJ715-Datasheet!AJ108</f>
        <v>-2564</v>
      </c>
      <c r="AK504" s="188">
        <f>Datasheet!AK624+Datasheet!AK625-AK715-Datasheet!AK108</f>
        <v>-2564</v>
      </c>
    </row>
    <row r="505" spans="2:37" s="9" customFormat="1" x14ac:dyDescent="0.25">
      <c r="C505" s="235"/>
      <c r="D505" s="51" t="s">
        <v>1328</v>
      </c>
      <c r="H505" s="5" t="s">
        <v>1015</v>
      </c>
      <c r="I505" s="97"/>
      <c r="J505" s="97"/>
      <c r="K505" s="97"/>
      <c r="L505" s="97"/>
      <c r="M505" s="97"/>
      <c r="N505" s="97"/>
      <c r="O505" s="97"/>
      <c r="P505" s="97"/>
      <c r="Q505" s="97">
        <f>IF(Datasheet!Q630&gt;0,SUM(Datasheet!Q629:Q630),_xlfn.FORECAST.ETS(Q2,P505:$Q505,P2:$Q2))</f>
        <v>7349</v>
      </c>
      <c r="R505" s="97">
        <f>IF(Datasheet!R630&gt;0,SUM(Datasheet!R629:R630),_xlfn.FORECAST.ETS(R2,$Q505:Q505,$Q2:Q2))</f>
        <v>7167</v>
      </c>
      <c r="S505" s="97">
        <f>IF(Datasheet!S630&gt;0,SUM(Datasheet!S629:S630),_xlfn.FORECAST.ETS(S2,$Q505:R505,$Q2:R2))</f>
        <v>7298</v>
      </c>
      <c r="T505" s="97">
        <f>IF(Datasheet!T630&gt;0,SUM(Datasheet!T629:T630),_xlfn.FORECAST.ETS(T2,$Q505:S505,$Q2:S2))</f>
        <v>7583</v>
      </c>
      <c r="U505" s="97">
        <f>IF(Datasheet!U630&gt;0,SUM(Datasheet!U629:U630),_xlfn.FORECAST.ETS(U2,$Q505:T505,$Q2:T2))</f>
        <v>7873</v>
      </c>
      <c r="V505" s="97">
        <f>IF(Datasheet!V630&gt;0,SUM(Datasheet!V629:V630),_xlfn.FORECAST.ETS(V2,$Q505:U505,$Q2:U2))</f>
        <v>8187</v>
      </c>
      <c r="W505" s="97">
        <f>IF(Datasheet!W630&gt;0,SUM(Datasheet!W629:W630),_xlfn.FORECAST.ETS(W2,$Q505:V505,$Q2:V2))</f>
        <v>8576</v>
      </c>
      <c r="X505" s="97">
        <f>IF(Datasheet!X630&gt;0,SUM(Datasheet!X629:X630),_xlfn.FORECAST.ETS(X2,$Q505:W505,$Q2:W2))</f>
        <v>8749</v>
      </c>
      <c r="Y505" s="97">
        <f>IF(Datasheet!Y630&gt;0,SUM(Datasheet!Y629:Y630),_xlfn.FORECAST.ETS(Y2,$Q505:X505,$Q2:X2))</f>
        <v>8981</v>
      </c>
      <c r="Z505" s="97">
        <f>IF(Datasheet!Z630&gt;0,SUM(Datasheet!Z629:Z630),_xlfn.FORECAST.ETS(Z2,$Q505:Y505,$Q2:Y2))</f>
        <v>8839</v>
      </c>
      <c r="AA505" s="97">
        <f>IF(Datasheet!AA630&gt;0,SUM(Datasheet!AA629:AA630),_xlfn.FORECAST.ETS(AA2,$Q505:Z505,$Q2:Z2))</f>
        <v>9096.9658594888933</v>
      </c>
      <c r="AB505" s="97">
        <f>IF(Datasheet!AB630&gt;0,SUM(Datasheet!AB629:AB630),_xlfn.FORECAST.ETS(AB2,$Q505:AA505,$Q2:AA2))</f>
        <v>9369.3679997908966</v>
      </c>
      <c r="AC505" s="97">
        <f>IF(Datasheet!AC630&gt;0,SUM(Datasheet!AC629:AC630),_xlfn.FORECAST.ETS(AC2,$Q505:AB505,$Q2:AB2))</f>
        <v>9573.8874547911873</v>
      </c>
      <c r="AD505" s="97">
        <f>IF(Datasheet!AD630&gt;0,SUM(Datasheet!AD629:AD630),_xlfn.FORECAST.ETS(AD2,$Q505:AC505,$Q2:AC2))</f>
        <v>9785.0218853866336</v>
      </c>
      <c r="AE505" s="97">
        <f>IF(Datasheet!AE630&gt;0,SUM(Datasheet!AE629:AE630),_xlfn.FORECAST.ETS(AE2,$Q505:AD505,$Q2:AD2))</f>
        <v>10008.541892816647</v>
      </c>
      <c r="AF505" s="97">
        <f>IF(Datasheet!AF630&gt;0,SUM(Datasheet!AF629:AF630),_xlfn.FORECAST.ETS(AF2,$Q505:AE505,$Q2:AE2))</f>
        <v>10214.632784070092</v>
      </c>
      <c r="AG505" s="97">
        <f>IF(Datasheet!AG630&gt;0,SUM(Datasheet!AG629:AG630),_xlfn.FORECAST.ETS(AG2,$Q505:AF505,$Q2:AF2))</f>
        <v>10421.228037374025</v>
      </c>
      <c r="AH505" s="97">
        <f>IF(Datasheet!AH630&gt;0,SUM(Datasheet!AH629:AH630),_xlfn.FORECAST.ETS(AH2,$Q505:AG505,$Q2:AG2))</f>
        <v>10628.534848590105</v>
      </c>
      <c r="AI505" s="97">
        <f>IF(Datasheet!AI630&gt;0,SUM(Datasheet!AI629:AI630),_xlfn.FORECAST.ETS(AI2,$Q505:AH505,$Q2:AH2))</f>
        <v>10835.627698584305</v>
      </c>
      <c r="AJ505" s="97">
        <f>IF(Datasheet!AJ630&gt;0,SUM(Datasheet!AJ629:AJ630),_xlfn.FORECAST.ETS(AJ2,$Q505:AI505,$Q2:AI2))</f>
        <v>11042.621031865336</v>
      </c>
      <c r="AK505" s="97">
        <f>IF(Datasheet!AK630&gt;0,SUM(Datasheet!AK629:AK630),_xlfn.FORECAST.ETS(AK2,$Q505:AJ505,$Q2:AJ2))</f>
        <v>11166.947653263209</v>
      </c>
    </row>
    <row r="506" spans="2:37" s="9" customFormat="1" x14ac:dyDescent="0.25">
      <c r="B506" s="66"/>
      <c r="C506" s="235"/>
      <c r="E506" s="9" t="s">
        <v>658</v>
      </c>
      <c r="H506" s="5" t="s">
        <v>1015</v>
      </c>
      <c r="I506" s="97"/>
      <c r="J506" s="97"/>
      <c r="K506" s="97"/>
      <c r="L506" s="97"/>
      <c r="M506" s="97"/>
      <c r="N506" s="97"/>
      <c r="O506" s="97"/>
      <c r="P506" s="97"/>
      <c r="Q506" s="97">
        <f>IF(Datasheet!Q635&gt;0,SUM(Datasheet!Q634:Q635),Q505*Q508)</f>
        <v>4542</v>
      </c>
      <c r="R506" s="97">
        <f>IF(Datasheet!R635&gt;0,SUM(Datasheet!R634:R635),R505*R508)</f>
        <v>4517</v>
      </c>
      <c r="S506" s="97">
        <f>IF(Datasheet!S635&gt;0,SUM(Datasheet!S634:S635),S505*S508)</f>
        <v>4461</v>
      </c>
      <c r="T506" s="97">
        <f>IF(Datasheet!T635&gt;0,SUM(Datasheet!T634:T635),T505*T508)</f>
        <v>4480</v>
      </c>
      <c r="U506" s="97">
        <f>IF(Datasheet!U635&gt;0,SUM(Datasheet!U634:U635),U505*U508)</f>
        <v>4644</v>
      </c>
      <c r="V506" s="97">
        <f>IF(Datasheet!V635&gt;0,SUM(Datasheet!V634:V635),V505*V508)</f>
        <v>4953</v>
      </c>
      <c r="W506" s="97">
        <f>IF(Datasheet!W635&gt;0,SUM(Datasheet!W634:W635),W505*W508)</f>
        <v>5132</v>
      </c>
      <c r="X506" s="97">
        <f>IF(Datasheet!X635&gt;0,SUM(Datasheet!X634:X635),X505*X508)</f>
        <v>5142</v>
      </c>
      <c r="Y506" s="97">
        <f>IF(Datasheet!Y635&gt;0,SUM(Datasheet!Y634:Y635),Y505*Y508)</f>
        <v>5287</v>
      </c>
      <c r="Z506" s="97">
        <f>IF(Datasheet!Z635&gt;0,SUM(Datasheet!Z634:Z635),Z505*Z508)</f>
        <v>5448</v>
      </c>
      <c r="AA506" s="97">
        <f>IF(Datasheet!AA635&gt;0,SUM(Datasheet!AA634:AA635),AA505*AA508)</f>
        <v>5406.9814208784574</v>
      </c>
      <c r="AB506" s="97">
        <f>IF(Datasheet!AB635&gt;0,SUM(Datasheet!AB634:AB635),AB505*AB508)</f>
        <v>5538.7698561511743</v>
      </c>
      <c r="AC506" s="97">
        <f>IF(Datasheet!AC635&gt;0,SUM(Datasheet!AC634:AC635),AC505*AC508)</f>
        <v>5616.4401494988833</v>
      </c>
      <c r="AD506" s="97">
        <f>IF(Datasheet!AD635&gt;0,SUM(Datasheet!AD634:AD635),AD505*AD508)</f>
        <v>5945.3551401051827</v>
      </c>
      <c r="AE506" s="97">
        <f>IF(Datasheet!AE635&gt;0,SUM(Datasheet!AE634:AE635),AE505*AE508)</f>
        <v>5957.193612127081</v>
      </c>
      <c r="AF506" s="97">
        <f>IF(Datasheet!AF635&gt;0,SUM(Datasheet!AF634:AF635),AF505*AF508)</f>
        <v>5912.0151095037709</v>
      </c>
      <c r="AG506" s="97">
        <f>IF(Datasheet!AG635&gt;0,SUM(Datasheet!AG634:AG635),AG505*AG508)</f>
        <v>6026.3383824441153</v>
      </c>
      <c r="AH506" s="97">
        <f>IF(Datasheet!AH635&gt;0,SUM(Datasheet!AH634:AH635),AH505*AH508)</f>
        <v>6374.159076532801</v>
      </c>
      <c r="AI506" s="97">
        <f>IF(Datasheet!AI635&gt;0,SUM(Datasheet!AI634:AI635),AI505*AI508)</f>
        <v>6336.8110551916725</v>
      </c>
      <c r="AJ506" s="97">
        <f>IF(Datasheet!AJ635&gt;0,SUM(Datasheet!AJ634:AJ635),AJ505*AJ508)</f>
        <v>6326.2873742931961</v>
      </c>
      <c r="AK506" s="97">
        <f>IF(Datasheet!AK635&gt;0,SUM(Datasheet!AK634:AK635),AK505*AK508)</f>
        <v>6376.9982374868796</v>
      </c>
    </row>
    <row r="507" spans="2:37" s="9" customFormat="1" x14ac:dyDescent="0.25">
      <c r="B507" s="66"/>
      <c r="C507" s="235"/>
      <c r="E507" s="9" t="s">
        <v>659</v>
      </c>
      <c r="H507" s="5" t="s">
        <v>1015</v>
      </c>
      <c r="I507" s="97"/>
      <c r="J507" s="97"/>
      <c r="K507" s="97"/>
      <c r="L507" s="97"/>
      <c r="M507" s="97"/>
      <c r="N507" s="97"/>
      <c r="O507" s="97"/>
      <c r="P507" s="97"/>
      <c r="Q507" s="97">
        <f>IF(Datasheet!Q640&gt;0,SUM(Datasheet!Q639:Q640),Q505*Q509)</f>
        <v>2807</v>
      </c>
      <c r="R507" s="97">
        <f>IF(Datasheet!R640&gt;0,SUM(Datasheet!R639:R640),R505*R509)</f>
        <v>2650</v>
      </c>
      <c r="S507" s="97">
        <f>IF(Datasheet!S640&gt;0,SUM(Datasheet!S639:S640),S505*S509)</f>
        <v>2837</v>
      </c>
      <c r="T507" s="97">
        <f>IF(Datasheet!T640&gt;0,SUM(Datasheet!T639:T640),T505*T509)</f>
        <v>3103</v>
      </c>
      <c r="U507" s="97">
        <f>IF(Datasheet!U640&gt;0,SUM(Datasheet!U639:U640),U505*U509)</f>
        <v>3229</v>
      </c>
      <c r="V507" s="97">
        <f>IF(Datasheet!V640&gt;0,SUM(Datasheet!V639:V640),V505*V509)</f>
        <v>3234</v>
      </c>
      <c r="W507" s="97">
        <f>IF(Datasheet!W640&gt;0,SUM(Datasheet!W639:W640),W505*W509)</f>
        <v>3444</v>
      </c>
      <c r="X507" s="97">
        <f>IF(Datasheet!X640&gt;0,SUM(Datasheet!X639:X640),X505*X509)</f>
        <v>3607</v>
      </c>
      <c r="Y507" s="97">
        <f>IF(Datasheet!Y640&gt;0,SUM(Datasheet!Y639:Y640),Y505*Y509)</f>
        <v>3694</v>
      </c>
      <c r="Z507" s="97">
        <f>IF(Datasheet!Z640&gt;0,SUM(Datasheet!Z639:Z640),Z505*Z509)</f>
        <v>3391</v>
      </c>
      <c r="AA507" s="97">
        <f>IF(Datasheet!AA640&gt;0,SUM(Datasheet!AA639:AA640),AA505*AA509)</f>
        <v>3689.9844386104464</v>
      </c>
      <c r="AB507" s="97">
        <f>IF(Datasheet!AB640&gt;0,SUM(Datasheet!AB639:AB640),AB505*AB509)</f>
        <v>3830.5981436397324</v>
      </c>
      <c r="AC507" s="97">
        <f>IF(Datasheet!AC640&gt;0,SUM(Datasheet!AC639:AC640),AC505*AC509)</f>
        <v>3957.4473052923199</v>
      </c>
      <c r="AD507" s="97">
        <f>IF(Datasheet!AD640&gt;0,SUM(Datasheet!AD639:AD640),AD505*AD509)</f>
        <v>3839.6667452814686</v>
      </c>
      <c r="AE507" s="97">
        <f>IF(Datasheet!AE640&gt;0,SUM(Datasheet!AE639:AE640),AE505*AE509)</f>
        <v>4051.3482806895854</v>
      </c>
      <c r="AF507" s="97">
        <f>IF(Datasheet!AF640&gt;0,SUM(Datasheet!AF639:AF640),AF505*AF509)</f>
        <v>4302.6176745663433</v>
      </c>
      <c r="AG507" s="97">
        <f>IF(Datasheet!AG640&gt;0,SUM(Datasheet!AG639:AG640),AG505*AG509)</f>
        <v>4394.8896549299325</v>
      </c>
      <c r="AH507" s="97">
        <f>IF(Datasheet!AH640&gt;0,SUM(Datasheet!AH639:AH640),AH505*AH509)</f>
        <v>4254.3757720573294</v>
      </c>
      <c r="AI507" s="97">
        <f>IF(Datasheet!AI640&gt;0,SUM(Datasheet!AI639:AI640),AI505*AI509)</f>
        <v>4498.8166433926617</v>
      </c>
      <c r="AJ507" s="97">
        <f>IF(Datasheet!AJ640&gt;0,SUM(Datasheet!AJ639:AJ640),AJ505*AJ509)</f>
        <v>4716.3336575721723</v>
      </c>
      <c r="AK507" s="97">
        <f>IF(Datasheet!AK640&gt;0,SUM(Datasheet!AK639:AK640),AK505*AK509)</f>
        <v>4789.9494157763629</v>
      </c>
    </row>
    <row r="508" spans="2:37" s="109" customFormat="1" x14ac:dyDescent="0.25">
      <c r="B508" s="182"/>
      <c r="C508" s="257"/>
      <c r="F508" s="109" t="s">
        <v>1329</v>
      </c>
      <c r="I508" s="136"/>
      <c r="J508" s="136"/>
      <c r="K508" s="136"/>
      <c r="L508" s="136"/>
      <c r="M508" s="136"/>
      <c r="N508" s="136"/>
      <c r="O508" s="136"/>
      <c r="P508" s="136"/>
      <c r="Q508" s="255">
        <f>IF(Datasheet!Q630&gt;0,Q506/Q505,_xlfn.FORECAST.ETS(Q2,P508:$Q508,P2:$Q2))</f>
        <v>0.61804327119335967</v>
      </c>
      <c r="R508" s="255">
        <f>IF(Datasheet!R630&gt;0,R506/R505,_xlfn.FORECAST.ETS(R2,$Q508:Q508,$Q2:Q2))</f>
        <v>0.6302497558253104</v>
      </c>
      <c r="S508" s="255">
        <f>IF(Datasheet!S630&gt;0,S506/S505,_xlfn.FORECAST.ETS(S2,$Q508:R508,$Q2:R2))</f>
        <v>0.61126335982460944</v>
      </c>
      <c r="T508" s="255">
        <f>IF(Datasheet!T630&gt;0,T506/T505,_xlfn.FORECAST.ETS(T2,$Q508:S508,$Q2:S2))</f>
        <v>0.59079519978900175</v>
      </c>
      <c r="U508" s="255">
        <f>IF(Datasheet!U630&gt;0,U506/U505,_xlfn.FORECAST.ETS(U2,$Q508:T508,$Q2:T2))</f>
        <v>0.58986409246792837</v>
      </c>
      <c r="V508" s="255">
        <f>IF(Datasheet!V630&gt;0,V506/V505,_xlfn.FORECAST.ETS(V2,$Q508:U508,$Q2:U2))</f>
        <v>0.60498351044338583</v>
      </c>
      <c r="W508" s="255">
        <f>IF(Datasheet!W630&gt;0,W506/W505,_xlfn.FORECAST.ETS(W2,$Q508:V508,$Q2:V2))</f>
        <v>0.59841417910447758</v>
      </c>
      <c r="X508" s="255">
        <f>IF(Datasheet!X630&gt;0,X506/X505,_xlfn.FORECAST.ETS(X2,$Q508:W508,$Q2:W2))</f>
        <v>0.58772431134986858</v>
      </c>
      <c r="Y508" s="255">
        <f>IF(Datasheet!Y630&gt;0,Y506/Y505,_xlfn.FORECAST.ETS(Y2,$Q508:X508,$Q2:X2))</f>
        <v>0.58868722859369782</v>
      </c>
      <c r="Z508" s="255">
        <f>IF(Datasheet!Z630&gt;0,Z506/Z505,_xlfn.FORECAST.ETS(Z2,$Q508:Y508,$Q2:Y2))</f>
        <v>0.61635931666478105</v>
      </c>
      <c r="AA508" s="255">
        <f>IF(Datasheet!AA630&gt;0,AA506/AA505,_xlfn.FORECAST.ETS(AA2,$Q508:Z508,$Q2:Z2))</f>
        <v>0.59437195922182395</v>
      </c>
      <c r="AB508" s="255">
        <f>IF(Datasheet!AB630&gt;0,AB506/AB505,_xlfn.FORECAST.ETS(AB2,$Q508:AA508,$Q2:AA2))</f>
        <v>0.59115725375231154</v>
      </c>
      <c r="AC508" s="255">
        <f>IF(Datasheet!AC630&gt;0,AC506/AC505,_xlfn.FORECAST.ETS(AC2,$Q508:AB508,$Q2:AB2))</f>
        <v>0.58664154723149309</v>
      </c>
      <c r="AD508" s="255">
        <f>IF(Datasheet!AD630&gt;0,AD506/AD505,_xlfn.FORECAST.ETS(AD2,$Q508:AC508,$Q2:AC2))</f>
        <v>0.60759753118020388</v>
      </c>
      <c r="AE508" s="255">
        <f>IF(Datasheet!AE630&gt;0,AE506/AE505,_xlfn.FORECAST.ETS(AE2,$Q508:AD508,$Q2:AD2))</f>
        <v>0.59521093840878969</v>
      </c>
      <c r="AF508" s="255">
        <f>IF(Datasheet!AF630&gt;0,AF506/AF505,_xlfn.FORECAST.ETS(AF2,$Q508:AE508,$Q2:AE2))</f>
        <v>0.57877901579816626</v>
      </c>
      <c r="AG508" s="255">
        <f>IF(Datasheet!AG630&gt;0,AG506/AG505,_xlfn.FORECAST.ETS(AG2,$Q508:AF508,$Q2:AF2))</f>
        <v>0.5782752628415424</v>
      </c>
      <c r="AH508" s="255">
        <f>IF(Datasheet!AH630&gt;0,AH506/AH505,_xlfn.FORECAST.ETS(AH2,$Q508:AG508,$Q2:AG2))</f>
        <v>0.59972133199321875</v>
      </c>
      <c r="AI508" s="255">
        <f>IF(Datasheet!AI630&gt;0,AI506/AI505,_xlfn.FORECAST.ETS(AI2,$Q508:AH508,$Q2:AH2))</f>
        <v>0.58481254907083868</v>
      </c>
      <c r="AJ508" s="255">
        <f>IF(Datasheet!AJ630&gt;0,AJ506/AJ505,_xlfn.FORECAST.ETS(AJ2,$Q508:AI508,$Q2:AI2))</f>
        <v>0.57289726379612527</v>
      </c>
      <c r="AK508" s="255">
        <f>IF(Datasheet!AK630&gt;0,AK506/AK505,_xlfn.FORECAST.ETS(AK2,$Q508:AJ508,$Q2:AJ2))</f>
        <v>0.57106009945550262</v>
      </c>
    </row>
    <row r="509" spans="2:37" s="109" customFormat="1" x14ac:dyDescent="0.25">
      <c r="B509" s="182"/>
      <c r="C509" s="257"/>
      <c r="F509" s="109" t="s">
        <v>1330</v>
      </c>
      <c r="I509" s="136"/>
      <c r="J509" s="136"/>
      <c r="K509" s="136"/>
      <c r="L509" s="136"/>
      <c r="M509" s="136"/>
      <c r="N509" s="136"/>
      <c r="O509" s="136"/>
      <c r="P509" s="136"/>
      <c r="Q509" s="255">
        <f>IF(Datasheet!Q630&gt;0,Q507/Q505,_xlfn.FORECAST.ETS(Q2,P509:$Q509,P2:$Q2))</f>
        <v>0.38195672880664033</v>
      </c>
      <c r="R509" s="255">
        <f>IF(Datasheet!R630&gt;0,R507/R505,_xlfn.FORECAST.ETS(R2,$Q509:Q509,$Q2:Q2))</f>
        <v>0.36975024417468955</v>
      </c>
      <c r="S509" s="255">
        <f>IF(Datasheet!S630&gt;0,S507/S505,_xlfn.FORECAST.ETS(S2,$Q509:R509,$Q2:R2))</f>
        <v>0.3887366401753905</v>
      </c>
      <c r="T509" s="255">
        <f>IF(Datasheet!T630&gt;0,T507/T505,_xlfn.FORECAST.ETS(T2,$Q509:S509,$Q2:S2))</f>
        <v>0.40920480021099831</v>
      </c>
      <c r="U509" s="255">
        <f>IF(Datasheet!U630&gt;0,U507/U505,_xlfn.FORECAST.ETS(U2,$Q509:T509,$Q2:T2))</f>
        <v>0.41013590753207163</v>
      </c>
      <c r="V509" s="255">
        <f>IF(Datasheet!V630&gt;0,V507/V505,_xlfn.FORECAST.ETS(V2,$Q509:U509,$Q2:U2))</f>
        <v>0.39501648955661417</v>
      </c>
      <c r="W509" s="255">
        <f>IF(Datasheet!W630&gt;0,W507/W505,_xlfn.FORECAST.ETS(W2,$Q509:V509,$Q2:V2))</f>
        <v>0.40158582089552236</v>
      </c>
      <c r="X509" s="255">
        <f>IF(Datasheet!X630&gt;0,X507/X505,_xlfn.FORECAST.ETS(X2,$Q509:W509,$Q2:W2))</f>
        <v>0.41227568865013142</v>
      </c>
      <c r="Y509" s="255">
        <f>IF(Datasheet!Y630&gt;0,Y507/Y505,_xlfn.FORECAST.ETS(Y2,$Q509:X509,$Q2:X2))</f>
        <v>0.41131277140630218</v>
      </c>
      <c r="Z509" s="255">
        <f>IF(Datasheet!Z630&gt;0,Z507/Z505,_xlfn.FORECAST.ETS(Z2,$Q509:Y509,$Q2:Y2))</f>
        <v>0.38364068333521889</v>
      </c>
      <c r="AA509" s="255">
        <f>IF(Datasheet!AA630&gt;0,AA507/AA505,_xlfn.FORECAST.ETS(AA2,$Q509:Z509,$Q2:Z2))</f>
        <v>0.40562804077817716</v>
      </c>
      <c r="AB509" s="255">
        <f>IF(Datasheet!AB630&gt;0,AB507/AB505,_xlfn.FORECAST.ETS(AB2,$Q509:AA509,$Q2:AA2))</f>
        <v>0.40884274624768957</v>
      </c>
      <c r="AC509" s="255">
        <f>IF(Datasheet!AC630&gt;0,AC507/AC505,_xlfn.FORECAST.ETS(AC2,$Q509:AB509,$Q2:AB2))</f>
        <v>0.41335845276850858</v>
      </c>
      <c r="AD509" s="255">
        <f>IF(Datasheet!AD630&gt;0,AD507/AD505,_xlfn.FORECAST.ETS(AD2,$Q509:AC509,$Q2:AC2))</f>
        <v>0.3924024688197979</v>
      </c>
      <c r="AE509" s="255">
        <f>IF(Datasheet!AE630&gt;0,AE507/AE505,_xlfn.FORECAST.ETS(AE2,$Q509:AD509,$Q2:AD2))</f>
        <v>0.4047890615912122</v>
      </c>
      <c r="AF509" s="255">
        <f>IF(Datasheet!AF630&gt;0,AF507/AF505,_xlfn.FORECAST.ETS(AF2,$Q509:AE509,$Q2:AE2))</f>
        <v>0.42122098420183585</v>
      </c>
      <c r="AG509" s="255">
        <f>IF(Datasheet!AG630&gt;0,AG507/AG505,_xlfn.FORECAST.ETS(AG2,$Q509:AF509,$Q2:AF2))</f>
        <v>0.42172473715845976</v>
      </c>
      <c r="AH509" s="255">
        <f>IF(Datasheet!AH630&gt;0,AH507/AH505,_xlfn.FORECAST.ETS(AH2,$Q509:AG509,$Q2:AG2))</f>
        <v>0.40027866800678363</v>
      </c>
      <c r="AI509" s="255">
        <f>IF(Datasheet!AI630&gt;0,AI507/AI505,_xlfn.FORECAST.ETS(AI2,$Q509:AH509,$Q2:AH2))</f>
        <v>0.41518745092916404</v>
      </c>
      <c r="AJ509" s="255">
        <f>IF(Datasheet!AJ630&gt;0,AJ507/AJ505,_xlfn.FORECAST.ETS(AJ2,$Q509:AI509,$Q2:AI2))</f>
        <v>0.42710273620387768</v>
      </c>
      <c r="AK509" s="255">
        <f>IF(Datasheet!AK630&gt;0,AK507/AK505,_xlfn.FORECAST.ETS(AK2,$Q509:AJ509,$Q2:AJ2))</f>
        <v>0.42893990054450037</v>
      </c>
    </row>
    <row r="510" spans="2:37" s="9" customFormat="1" x14ac:dyDescent="0.25">
      <c r="B510" s="66"/>
      <c r="C510" s="235"/>
      <c r="D510" s="9" t="s">
        <v>660</v>
      </c>
      <c r="H510" s="9" t="s">
        <v>1015</v>
      </c>
      <c r="I510" s="97"/>
      <c r="J510" s="97"/>
      <c r="K510" s="97"/>
      <c r="L510" s="97"/>
      <c r="M510" s="97"/>
      <c r="N510" s="97"/>
      <c r="O510" s="97"/>
      <c r="P510" s="97"/>
      <c r="Q510" s="97">
        <f>IF(Datasheet!Q735&gt;0,SUM(Datasheet!Q734:Q735),_xlfn.FORECAST.ETS(Q2,P510:$Q510,P2:$Q2))</f>
        <v>6206</v>
      </c>
      <c r="R510" s="97">
        <f>IF(Datasheet!R735&gt;0,SUM(Datasheet!R734:R735),_xlfn.FORECAST.ETS(R2,$Q510:Q510,$Q2:Q2))</f>
        <v>6094</v>
      </c>
      <c r="S510" s="97">
        <f>IF(Datasheet!S735&gt;0,SUM(Datasheet!S734:S735),_xlfn.FORECAST.ETS(S2,$Q510:R510,$Q2:R2))</f>
        <v>6310</v>
      </c>
      <c r="T510" s="97">
        <f>IF(Datasheet!T735&gt;0,SUM(Datasheet!T734:T735),_xlfn.FORECAST.ETS(T2,$Q510:S510,$Q2:S2))</f>
        <v>6580</v>
      </c>
      <c r="U510" s="97">
        <f>IF(Datasheet!U735&gt;0,SUM(Datasheet!U734:U735),_xlfn.FORECAST.ETS(U2,$Q510:T510,$Q2:T2))</f>
        <v>6830</v>
      </c>
      <c r="V510" s="97">
        <f>IF(Datasheet!V735&gt;0,SUM(Datasheet!V734:V735),_xlfn.FORECAST.ETS(V2,$Q510:U510,$Q2:U2))</f>
        <v>7058</v>
      </c>
      <c r="W510" s="97">
        <f>IF(Datasheet!W735&gt;0,SUM(Datasheet!W734:W735),_xlfn.FORECAST.ETS(W2,$Q510:V510,$Q2:V2))</f>
        <v>7283</v>
      </c>
      <c r="X510" s="97">
        <f>IF(Datasheet!X735&gt;0,SUM(Datasheet!X734:X735),_xlfn.FORECAST.ETS(X2,$Q510:W510,$Q2:W2))</f>
        <v>7308</v>
      </c>
      <c r="Y510" s="97">
        <f>IF(Datasheet!Y735&gt;0,SUM(Datasheet!Y734:Y735),_xlfn.FORECAST.ETS(Y2,$Q510:X510,$Q2:X2))</f>
        <v>7531</v>
      </c>
      <c r="Z510" s="97">
        <f>IF(Datasheet!Z735&gt;0,SUM(Datasheet!Z734:Z735),_xlfn.FORECAST.ETS(Z2,$Q510:Y510,$Q2:Y2))</f>
        <v>7413</v>
      </c>
      <c r="AA510" s="97">
        <f>IF(Datasheet!AA735&gt;0,SUM(Datasheet!AA734:AA735),_xlfn.FORECAST.ETS(AA2,$Q510:Z510,$Q2:Z2))</f>
        <v>7612.4045040459341</v>
      </c>
      <c r="AB510" s="97">
        <f>IF(Datasheet!AB735&gt;0,SUM(Datasheet!AB734:AB735),_xlfn.FORECAST.ETS(AB2,$Q510:AA510,$Q2:AA2))</f>
        <v>7918.5723122283152</v>
      </c>
      <c r="AC510" s="97">
        <f>IF(Datasheet!AC735&gt;0,SUM(Datasheet!AC734:AC735),_xlfn.FORECAST.ETS(AC2,$Q510:AB510,$Q2:AB2))</f>
        <v>8079.7170684496487</v>
      </c>
      <c r="AD510" s="97">
        <f>IF(Datasheet!AD735&gt;0,SUM(Datasheet!AD734:AD735),_xlfn.FORECAST.ETS(AD2,$Q510:AC510,$Q2:AC2))</f>
        <v>8241.2563182027843</v>
      </c>
      <c r="AE510" s="97">
        <f>IF(Datasheet!AE735&gt;0,SUM(Datasheet!AE734:AE735),_xlfn.FORECAST.ETS(AE2,$Q510:AD510,$Q2:AD2))</f>
        <v>8417.4914305639868</v>
      </c>
      <c r="AF510" s="97">
        <f>IF(Datasheet!AF735&gt;0,SUM(Datasheet!AF734:AF735),_xlfn.FORECAST.ETS(AF2,$Q510:AE510,$Q2:AE2))</f>
        <v>8576.4098811961248</v>
      </c>
      <c r="AG510" s="97">
        <f>IF(Datasheet!AG735&gt;0,SUM(Datasheet!AG734:AG735),_xlfn.FORECAST.ETS(AG2,$Q510:AF510,$Q2:AF2))</f>
        <v>8737.0851803473106</v>
      </c>
      <c r="AH510" s="97">
        <f>IF(Datasheet!AH735&gt;0,SUM(Datasheet!AH734:AH735),_xlfn.FORECAST.ETS(AH2,$Q510:AG510,$Q2:AG2))</f>
        <v>8903.7864478341526</v>
      </c>
      <c r="AI510" s="97">
        <f>IF(Datasheet!AI735&gt;0,SUM(Datasheet!AI734:AI735),_xlfn.FORECAST.ETS(AI2,$Q510:AH510,$Q2:AH2))</f>
        <v>9067.6688880622314</v>
      </c>
      <c r="AJ510" s="97">
        <f>IF(Datasheet!AJ735&gt;0,SUM(Datasheet!AJ734:AJ735),_xlfn.FORECAST.ETS(AJ2,$Q510:AI510,$Q2:AI2))</f>
        <v>9231.7096335683073</v>
      </c>
      <c r="AK510" s="97">
        <f>IF(Datasheet!AK735&gt;0,SUM(Datasheet!AK734:AK735),_xlfn.FORECAST.ETS(AK2,$Q510:AJ510,$Q2:AJ2))</f>
        <v>9425.0161735462625</v>
      </c>
    </row>
    <row r="511" spans="2:37" s="9" customFormat="1" x14ac:dyDescent="0.25">
      <c r="B511" s="66"/>
      <c r="E511" s="9" t="s">
        <v>2038</v>
      </c>
      <c r="I511" s="97"/>
      <c r="J511" s="97"/>
      <c r="K511" s="97"/>
      <c r="L511" s="97"/>
      <c r="M511" s="97"/>
      <c r="N511" s="97"/>
      <c r="O511" s="97"/>
      <c r="P511" s="97"/>
      <c r="Q511" s="86">
        <f t="shared" ref="Q511:AK511" si="51">Q510/Q503</f>
        <v>0.63625179413573918</v>
      </c>
      <c r="R511" s="86">
        <f t="shared" si="51"/>
        <v>0.62044390144573403</v>
      </c>
      <c r="S511" s="86">
        <f t="shared" si="51"/>
        <v>0.63808271817170592</v>
      </c>
      <c r="T511" s="86">
        <f t="shared" si="51"/>
        <v>0.6611736334405145</v>
      </c>
      <c r="U511" s="86">
        <f t="shared" si="51"/>
        <v>0.67906144362696363</v>
      </c>
      <c r="V511" s="86">
        <f t="shared" si="51"/>
        <v>0.69297987236131564</v>
      </c>
      <c r="W511" s="86">
        <f t="shared" si="51"/>
        <v>0.70585384764489245</v>
      </c>
      <c r="X511" s="86">
        <f t="shared" si="51"/>
        <v>0.69973190348525471</v>
      </c>
      <c r="Y511" s="86">
        <f t="shared" si="51"/>
        <v>0.70893344629577337</v>
      </c>
      <c r="Z511" s="86">
        <f t="shared" si="51"/>
        <v>0.68379300802508991</v>
      </c>
      <c r="AA511" s="86">
        <f t="shared" si="51"/>
        <v>0.68809586043983861</v>
      </c>
      <c r="AB511" s="86">
        <f t="shared" si="51"/>
        <v>0.71577079564569424</v>
      </c>
      <c r="AC511" s="86">
        <f t="shared" si="51"/>
        <v>0.73033689491545228</v>
      </c>
      <c r="AD511" s="86">
        <f t="shared" si="51"/>
        <v>0.74493865300576556</v>
      </c>
      <c r="AE511" s="86">
        <f t="shared" si="51"/>
        <v>0.76086879061411794</v>
      </c>
      <c r="AF511" s="86">
        <f t="shared" si="51"/>
        <v>0.77523365101655295</v>
      </c>
      <c r="AG511" s="86">
        <f t="shared" si="51"/>
        <v>0.78975731540697014</v>
      </c>
      <c r="AH511" s="86">
        <f t="shared" si="51"/>
        <v>0.80482567547990169</v>
      </c>
      <c r="AI511" s="86">
        <f t="shared" si="51"/>
        <v>0.81963923782538473</v>
      </c>
      <c r="AJ511" s="86">
        <f t="shared" si="51"/>
        <v>0.83446710960574055</v>
      </c>
      <c r="AK511" s="86">
        <f t="shared" si="51"/>
        <v>0.85194035736656082</v>
      </c>
    </row>
    <row r="512" spans="2:37" s="9" customFormat="1" x14ac:dyDescent="0.25">
      <c r="B512" s="66"/>
      <c r="E512" s="9" t="s">
        <v>2039</v>
      </c>
      <c r="H512" s="9" t="s">
        <v>1015</v>
      </c>
      <c r="I512" s="97"/>
      <c r="J512" s="97"/>
      <c r="K512" s="97"/>
      <c r="L512" s="97"/>
      <c r="M512" s="97"/>
      <c r="N512" s="97"/>
      <c r="O512" s="97"/>
      <c r="P512" s="97"/>
      <c r="Q512" s="97">
        <f>Datasheet!Q825</f>
        <v>649</v>
      </c>
      <c r="R512" s="97">
        <f>Datasheet!R825</f>
        <v>649</v>
      </c>
      <c r="S512" s="97">
        <f>Datasheet!S825</f>
        <v>702</v>
      </c>
      <c r="T512" s="97">
        <f>Datasheet!T825</f>
        <v>729</v>
      </c>
      <c r="U512" s="97">
        <f>Datasheet!U825</f>
        <v>738</v>
      </c>
      <c r="V512" s="97">
        <f>Datasheet!V825</f>
        <v>811</v>
      </c>
      <c r="W512" s="97">
        <f>Datasheet!W825</f>
        <v>873</v>
      </c>
      <c r="X512" s="97">
        <f>Datasheet!X825</f>
        <v>883</v>
      </c>
      <c r="Y512" s="97">
        <f>Datasheet!Y825</f>
        <v>963</v>
      </c>
      <c r="Z512" s="97">
        <f>Datasheet!Z825</f>
        <v>1005</v>
      </c>
      <c r="AA512" s="97">
        <f>Datasheet!AA825</f>
        <v>1079</v>
      </c>
      <c r="AB512" s="97">
        <f>Datasheet!AB825</f>
        <v>0</v>
      </c>
      <c r="AC512" s="97">
        <f>Datasheet!AC825</f>
        <v>0</v>
      </c>
      <c r="AD512" s="97">
        <f>Datasheet!AD825</f>
        <v>0</v>
      </c>
      <c r="AE512" s="97">
        <f>Datasheet!AE825</f>
        <v>0</v>
      </c>
      <c r="AF512" s="97">
        <f>Datasheet!AF825</f>
        <v>0</v>
      </c>
      <c r="AG512" s="97">
        <f>Datasheet!AG825</f>
        <v>0</v>
      </c>
      <c r="AH512" s="97">
        <f>Datasheet!AH825</f>
        <v>0</v>
      </c>
      <c r="AI512" s="97">
        <f>Datasheet!AI825</f>
        <v>0</v>
      </c>
      <c r="AJ512" s="97">
        <f>Datasheet!AJ825</f>
        <v>0</v>
      </c>
      <c r="AK512" s="97">
        <f>Datasheet!AK825</f>
        <v>0</v>
      </c>
    </row>
    <row r="513" spans="1:37" s="9" customFormat="1" x14ac:dyDescent="0.25">
      <c r="B513" s="66"/>
      <c r="E513" s="9" t="s">
        <v>2045</v>
      </c>
      <c r="H513" s="9" t="s">
        <v>1015</v>
      </c>
      <c r="I513" s="97"/>
      <c r="J513" s="97"/>
      <c r="K513" s="97"/>
      <c r="L513" s="97"/>
      <c r="M513" s="97"/>
      <c r="N513" s="97"/>
      <c r="O513" s="97"/>
      <c r="P513" s="97"/>
      <c r="Q513" s="97">
        <f>Datasheet!Q822</f>
        <v>135</v>
      </c>
      <c r="R513" s="97">
        <f>Datasheet!R822</f>
        <v>137</v>
      </c>
      <c r="S513" s="97">
        <f>Datasheet!S822</f>
        <v>141</v>
      </c>
      <c r="T513" s="97">
        <f>Datasheet!T822</f>
        <v>144</v>
      </c>
      <c r="U513" s="97">
        <f>Datasheet!U822</f>
        <v>151</v>
      </c>
      <c r="V513" s="97">
        <f>Datasheet!V822</f>
        <v>155</v>
      </c>
      <c r="W513" s="97">
        <f>Datasheet!W822</f>
        <v>161</v>
      </c>
      <c r="X513" s="97">
        <f>Datasheet!X822</f>
        <v>169</v>
      </c>
      <c r="Y513" s="97">
        <f>Datasheet!Y822</f>
        <v>173</v>
      </c>
      <c r="Z513" s="97">
        <f>Datasheet!Z822</f>
        <v>177</v>
      </c>
      <c r="AA513" s="97">
        <f>Datasheet!AA822</f>
        <v>177</v>
      </c>
      <c r="AB513" s="97">
        <f>Datasheet!AB822</f>
        <v>0</v>
      </c>
      <c r="AC513" s="97">
        <f>Datasheet!AC822</f>
        <v>0</v>
      </c>
      <c r="AD513" s="97">
        <f>Datasheet!AD822</f>
        <v>0</v>
      </c>
      <c r="AE513" s="97">
        <f>Datasheet!AE822</f>
        <v>0</v>
      </c>
      <c r="AF513" s="97">
        <f>Datasheet!AF822</f>
        <v>0</v>
      </c>
      <c r="AG513" s="97">
        <f>Datasheet!AG822</f>
        <v>0</v>
      </c>
      <c r="AH513" s="97">
        <f>Datasheet!AH822</f>
        <v>0</v>
      </c>
      <c r="AI513" s="97">
        <f>Datasheet!AI822</f>
        <v>0</v>
      </c>
      <c r="AJ513" s="97">
        <f>Datasheet!AJ822</f>
        <v>0</v>
      </c>
      <c r="AK513" s="97">
        <f>Datasheet!AK822</f>
        <v>0</v>
      </c>
    </row>
    <row r="514" spans="1:37" s="9" customFormat="1" x14ac:dyDescent="0.25">
      <c r="B514" s="66"/>
      <c r="E514" s="9" t="s">
        <v>2047</v>
      </c>
      <c r="H514" s="9" t="s">
        <v>1015</v>
      </c>
      <c r="I514" s="97"/>
      <c r="J514" s="97"/>
      <c r="K514" s="97"/>
      <c r="L514" s="97"/>
      <c r="M514" s="97"/>
      <c r="N514" s="97"/>
      <c r="O514" s="97"/>
      <c r="P514" s="97"/>
      <c r="Q514" s="97">
        <f t="shared" ref="Q514:AK514" si="52">Q510*Q507/Q505-Q515</f>
        <v>2011.4234589740099</v>
      </c>
      <c r="R514" s="97">
        <f t="shared" si="52"/>
        <v>1892.2579880005583</v>
      </c>
      <c r="S514" s="97">
        <f t="shared" si="52"/>
        <v>2087.928199506714</v>
      </c>
      <c r="T514" s="97">
        <f t="shared" si="52"/>
        <v>2310.5675853883686</v>
      </c>
      <c r="U514" s="97">
        <f t="shared" si="52"/>
        <v>2412.2282484440493</v>
      </c>
      <c r="V514" s="97">
        <f t="shared" si="52"/>
        <v>2348.0263832905825</v>
      </c>
      <c r="W514" s="97">
        <f t="shared" si="52"/>
        <v>2440.7495335820895</v>
      </c>
      <c r="X514" s="97">
        <f t="shared" si="52"/>
        <v>2512.9107326551607</v>
      </c>
      <c r="Y514" s="97">
        <f t="shared" si="52"/>
        <v>2531.5964814608619</v>
      </c>
      <c r="Z514" s="97">
        <f t="shared" si="52"/>
        <v>2211.9283855639778</v>
      </c>
      <c r="AA514" s="97">
        <f t="shared" si="52"/>
        <v>2380.8047245871239</v>
      </c>
      <c r="AB514" s="97">
        <f t="shared" si="52"/>
        <v>3237.4508504923415</v>
      </c>
      <c r="AC514" s="97">
        <f t="shared" si="52"/>
        <v>3339.8193462216568</v>
      </c>
      <c r="AD514" s="97">
        <f t="shared" si="52"/>
        <v>3233.8893254395307</v>
      </c>
      <c r="AE514" s="97">
        <f t="shared" si="52"/>
        <v>3407.3084571300665</v>
      </c>
      <c r="AF514" s="97">
        <f t="shared" si="52"/>
        <v>3612.5638110757823</v>
      </c>
      <c r="AG514" s="97">
        <f t="shared" si="52"/>
        <v>3684.6449512130434</v>
      </c>
      <c r="AH514" s="97">
        <f t="shared" si="52"/>
        <v>3563.9957795559067</v>
      </c>
      <c r="AI514" s="97">
        <f t="shared" si="52"/>
        <v>3764.7823315042451</v>
      </c>
      <c r="AJ514" s="97">
        <f t="shared" si="52"/>
        <v>3942.8884443367215</v>
      </c>
      <c r="AK514" s="97">
        <f t="shared" si="52"/>
        <v>4042.7655001112412</v>
      </c>
    </row>
    <row r="515" spans="1:37" s="109" customFormat="1" x14ac:dyDescent="0.25">
      <c r="B515" s="182"/>
      <c r="F515" s="109" t="s">
        <v>661</v>
      </c>
      <c r="H515" s="109" t="s">
        <v>1015</v>
      </c>
      <c r="I515" s="136"/>
      <c r="J515" s="136"/>
      <c r="K515" s="136"/>
      <c r="L515" s="136"/>
      <c r="M515" s="136"/>
      <c r="N515" s="136"/>
      <c r="O515" s="136"/>
      <c r="P515" s="136"/>
      <c r="Q515" s="136">
        <f>Datasheet!Q832</f>
        <v>359</v>
      </c>
      <c r="R515" s="136">
        <f>Datasheet!R832</f>
        <v>361</v>
      </c>
      <c r="S515" s="136">
        <f>Datasheet!S832</f>
        <v>365</v>
      </c>
      <c r="T515" s="136">
        <f>Datasheet!T832</f>
        <v>382</v>
      </c>
      <c r="U515" s="136">
        <f>Datasheet!U832</f>
        <v>389</v>
      </c>
      <c r="V515" s="136">
        <f>Datasheet!V832</f>
        <v>440</v>
      </c>
      <c r="W515" s="136">
        <f>Datasheet!W832</f>
        <v>484</v>
      </c>
      <c r="X515" s="136">
        <f>Datasheet!X832</f>
        <v>500</v>
      </c>
      <c r="Y515" s="136">
        <f>Datasheet!Y832</f>
        <v>566</v>
      </c>
      <c r="Z515" s="136">
        <f>Datasheet!Z832</f>
        <v>632</v>
      </c>
      <c r="AA515" s="136">
        <f>Datasheet!AA832</f>
        <v>707</v>
      </c>
      <c r="AB515" s="136">
        <f>Datasheet!AB832</f>
        <v>0</v>
      </c>
      <c r="AC515" s="136">
        <f>Datasheet!AC832</f>
        <v>0</v>
      </c>
      <c r="AD515" s="136">
        <f>Datasheet!AD832</f>
        <v>0</v>
      </c>
      <c r="AE515" s="136">
        <f>Datasheet!AE832</f>
        <v>0</v>
      </c>
      <c r="AF515" s="136">
        <f>Datasheet!AF832</f>
        <v>0</v>
      </c>
      <c r="AG515" s="136">
        <f>Datasheet!AG832</f>
        <v>0</v>
      </c>
      <c r="AH515" s="136">
        <f>Datasheet!AH832</f>
        <v>0</v>
      </c>
      <c r="AI515" s="136">
        <f>Datasheet!AI832</f>
        <v>0</v>
      </c>
      <c r="AJ515" s="136">
        <f>Datasheet!AJ832</f>
        <v>0</v>
      </c>
      <c r="AK515" s="136">
        <f>Datasheet!AK832</f>
        <v>0</v>
      </c>
    </row>
    <row r="516" spans="1:37" s="9" customFormat="1" x14ac:dyDescent="0.25">
      <c r="B516" s="66"/>
      <c r="E516" s="9" t="s">
        <v>2048</v>
      </c>
      <c r="H516" s="9" t="s">
        <v>1015</v>
      </c>
      <c r="I516" s="97"/>
      <c r="J516" s="97"/>
      <c r="K516" s="97"/>
      <c r="L516" s="97"/>
      <c r="M516" s="97"/>
      <c r="N516" s="97"/>
      <c r="O516" s="97"/>
      <c r="P516" s="97"/>
      <c r="Q516" s="97">
        <f t="shared" ref="Q516:AK516" si="53">Q510*Q506/Q505-Q517</f>
        <v>3410.5765410259901</v>
      </c>
      <c r="R516" s="97">
        <f t="shared" si="53"/>
        <v>3415.7420119994417</v>
      </c>
      <c r="S516" s="97">
        <f t="shared" si="53"/>
        <v>3379.071800493286</v>
      </c>
      <c r="T516" s="97">
        <f t="shared" si="53"/>
        <v>3396.4324146116314</v>
      </c>
      <c r="U516" s="97">
        <f t="shared" si="53"/>
        <v>3528.7717515559507</v>
      </c>
      <c r="V516" s="97">
        <f t="shared" si="53"/>
        <v>3743.973616709417</v>
      </c>
      <c r="W516" s="97">
        <f t="shared" si="53"/>
        <v>3808.2504664179105</v>
      </c>
      <c r="X516" s="97">
        <f t="shared" si="53"/>
        <v>3743.0892673448398</v>
      </c>
      <c r="Y516" s="97">
        <f t="shared" si="53"/>
        <v>3863.4035185391385</v>
      </c>
      <c r="Z516" s="97">
        <f t="shared" si="53"/>
        <v>4019.0716144360222</v>
      </c>
      <c r="AA516" s="97">
        <f t="shared" si="53"/>
        <v>3975.5997794588193</v>
      </c>
      <c r="AB516" s="97">
        <f t="shared" si="53"/>
        <v>4681.1214617359819</v>
      </c>
      <c r="AC516" s="97">
        <f t="shared" si="53"/>
        <v>4739.8977222280055</v>
      </c>
      <c r="AD516" s="97">
        <f t="shared" si="53"/>
        <v>5007.3669927632691</v>
      </c>
      <c r="AE516" s="97">
        <f t="shared" si="53"/>
        <v>5010.1829734339362</v>
      </c>
      <c r="AF516" s="97">
        <f t="shared" si="53"/>
        <v>4963.8460701203612</v>
      </c>
      <c r="AG516" s="97">
        <f t="shared" si="53"/>
        <v>5052.4402291342858</v>
      </c>
      <c r="AH516" s="97">
        <f t="shared" si="53"/>
        <v>5339.7906682782677</v>
      </c>
      <c r="AI516" s="97">
        <f t="shared" si="53"/>
        <v>5302.8865565580109</v>
      </c>
      <c r="AJ516" s="97">
        <f t="shared" si="53"/>
        <v>5288.821189231614</v>
      </c>
      <c r="AK516" s="97">
        <f t="shared" si="53"/>
        <v>5382.2506734350491</v>
      </c>
    </row>
    <row r="517" spans="1:37" s="109" customFormat="1" x14ac:dyDescent="0.25">
      <c r="B517" s="182"/>
      <c r="F517" s="109" t="s">
        <v>662</v>
      </c>
      <c r="H517" s="109" t="s">
        <v>1015</v>
      </c>
      <c r="I517" s="136"/>
      <c r="J517" s="136"/>
      <c r="K517" s="136"/>
      <c r="L517" s="136"/>
      <c r="M517" s="136"/>
      <c r="N517" s="136"/>
      <c r="O517" s="136"/>
      <c r="P517" s="136"/>
      <c r="Q517" s="136">
        <f>Datasheet!Q831</f>
        <v>425</v>
      </c>
      <c r="R517" s="136">
        <f>Datasheet!R831</f>
        <v>425</v>
      </c>
      <c r="S517" s="136">
        <f>Datasheet!S831</f>
        <v>478</v>
      </c>
      <c r="T517" s="136">
        <f>Datasheet!T831</f>
        <v>491</v>
      </c>
      <c r="U517" s="136">
        <f>Datasheet!U831</f>
        <v>500</v>
      </c>
      <c r="V517" s="136">
        <f>Datasheet!V831</f>
        <v>526</v>
      </c>
      <c r="W517" s="136">
        <f>Datasheet!W831</f>
        <v>550</v>
      </c>
      <c r="X517" s="136">
        <f>Datasheet!X831</f>
        <v>552</v>
      </c>
      <c r="Y517" s="136">
        <f>Datasheet!Y831</f>
        <v>570</v>
      </c>
      <c r="Z517" s="136">
        <f>Datasheet!Z831</f>
        <v>550</v>
      </c>
      <c r="AA517" s="136">
        <f>Datasheet!AA831</f>
        <v>549</v>
      </c>
      <c r="AB517" s="136">
        <f>Datasheet!AB831</f>
        <v>0</v>
      </c>
      <c r="AC517" s="136">
        <f>Datasheet!AC831</f>
        <v>0</v>
      </c>
      <c r="AD517" s="136">
        <f>Datasheet!AD831</f>
        <v>0</v>
      </c>
      <c r="AE517" s="136">
        <f>Datasheet!AE831</f>
        <v>0</v>
      </c>
      <c r="AF517" s="136">
        <f>Datasheet!AF831</f>
        <v>0</v>
      </c>
      <c r="AG517" s="136">
        <f>Datasheet!AG831</f>
        <v>0</v>
      </c>
      <c r="AH517" s="136">
        <f>Datasheet!AH831</f>
        <v>0</v>
      </c>
      <c r="AI517" s="136">
        <f>Datasheet!AI831</f>
        <v>0</v>
      </c>
      <c r="AJ517" s="136">
        <f>Datasheet!AJ831</f>
        <v>0</v>
      </c>
      <c r="AK517" s="136">
        <f>Datasheet!AK831</f>
        <v>0</v>
      </c>
    </row>
    <row r="518" spans="1:37" s="9" customFormat="1" x14ac:dyDescent="0.25">
      <c r="B518" s="66"/>
      <c r="D518" s="9" t="s">
        <v>657</v>
      </c>
      <c r="H518" s="9" t="s">
        <v>1015</v>
      </c>
      <c r="I518" s="97"/>
      <c r="J518" s="97"/>
      <c r="K518" s="97"/>
      <c r="L518" s="97"/>
      <c r="M518" s="97"/>
      <c r="N518" s="97"/>
      <c r="O518" s="97"/>
      <c r="P518" s="97"/>
      <c r="Q518" s="97">
        <f>SUM(Q519:Q520)</f>
        <v>3548</v>
      </c>
      <c r="R518" s="97">
        <f t="shared" ref="R518:AK518" si="54">SUM(R519:R520)</f>
        <v>3728</v>
      </c>
      <c r="S518" s="97">
        <f t="shared" si="54"/>
        <v>3579</v>
      </c>
      <c r="T518" s="97">
        <f t="shared" si="54"/>
        <v>3372</v>
      </c>
      <c r="U518" s="97">
        <f t="shared" si="54"/>
        <v>3228</v>
      </c>
      <c r="V518" s="97">
        <f t="shared" si="54"/>
        <v>3127</v>
      </c>
      <c r="W518" s="97">
        <f t="shared" si="54"/>
        <v>3035</v>
      </c>
      <c r="X518" s="97">
        <f t="shared" si="54"/>
        <v>3136</v>
      </c>
      <c r="Y518" s="97">
        <f t="shared" si="54"/>
        <v>3092</v>
      </c>
      <c r="Z518" s="97">
        <f t="shared" si="54"/>
        <v>3428</v>
      </c>
      <c r="AA518" s="97">
        <f t="shared" si="54"/>
        <v>3450.5954959540659</v>
      </c>
      <c r="AB518" s="97">
        <f t="shared" si="54"/>
        <v>3144.4276877716848</v>
      </c>
      <c r="AC518" s="97">
        <f t="shared" si="54"/>
        <v>2983.2829315503513</v>
      </c>
      <c r="AD518" s="97">
        <f t="shared" si="54"/>
        <v>2821.7436817972157</v>
      </c>
      <c r="AE518" s="97">
        <f t="shared" si="54"/>
        <v>2645.5085694360132</v>
      </c>
      <c r="AF518" s="97">
        <f t="shared" si="54"/>
        <v>2486.5901188038752</v>
      </c>
      <c r="AG518" s="97">
        <f t="shared" si="54"/>
        <v>2325.9148196526894</v>
      </c>
      <c r="AH518" s="97">
        <f t="shared" si="54"/>
        <v>2159.2135521658474</v>
      </c>
      <c r="AI518" s="97">
        <f t="shared" si="54"/>
        <v>1995.3311119377686</v>
      </c>
      <c r="AJ518" s="97">
        <f t="shared" si="54"/>
        <v>1831.2903664316927</v>
      </c>
      <c r="AK518" s="97">
        <f t="shared" si="54"/>
        <v>1637.9838264537375</v>
      </c>
    </row>
    <row r="519" spans="1:37" s="9" customFormat="1" x14ac:dyDescent="0.25">
      <c r="B519" s="66"/>
      <c r="E519" s="9" t="s">
        <v>2040</v>
      </c>
      <c r="H519" s="9" t="s">
        <v>1015</v>
      </c>
      <c r="I519" s="97"/>
      <c r="J519" s="97"/>
      <c r="K519" s="97"/>
      <c r="L519" s="97"/>
      <c r="M519" s="97"/>
      <c r="N519" s="97"/>
      <c r="O519" s="97"/>
      <c r="P519" s="97"/>
      <c r="Q519" s="97">
        <f t="shared" ref="Q519:AK519" si="55">Q503-Q505</f>
        <v>2405</v>
      </c>
      <c r="R519" s="97">
        <f t="shared" si="55"/>
        <v>2655</v>
      </c>
      <c r="S519" s="97">
        <f t="shared" si="55"/>
        <v>2591</v>
      </c>
      <c r="T519" s="97">
        <f t="shared" si="55"/>
        <v>2369</v>
      </c>
      <c r="U519" s="97">
        <f t="shared" si="55"/>
        <v>2185</v>
      </c>
      <c r="V519" s="97">
        <f t="shared" si="55"/>
        <v>1998</v>
      </c>
      <c r="W519" s="97">
        <f t="shared" si="55"/>
        <v>1742</v>
      </c>
      <c r="X519" s="97">
        <f t="shared" si="55"/>
        <v>1695</v>
      </c>
      <c r="Y519" s="97">
        <f t="shared" si="55"/>
        <v>1642</v>
      </c>
      <c r="Z519" s="97">
        <f t="shared" si="55"/>
        <v>2002</v>
      </c>
      <c r="AA519" s="97">
        <f t="shared" si="55"/>
        <v>1966.0341405111067</v>
      </c>
      <c r="AB519" s="97">
        <f t="shared" si="55"/>
        <v>1693.6320002091034</v>
      </c>
      <c r="AC519" s="97">
        <f t="shared" si="55"/>
        <v>1489.1125452088127</v>
      </c>
      <c r="AD519" s="97">
        <f t="shared" si="55"/>
        <v>1277.9781146133664</v>
      </c>
      <c r="AE519" s="97">
        <f t="shared" si="55"/>
        <v>1054.4581071833527</v>
      </c>
      <c r="AF519" s="97">
        <f t="shared" si="55"/>
        <v>848.36721592990762</v>
      </c>
      <c r="AG519" s="97">
        <f t="shared" si="55"/>
        <v>641.77196262597499</v>
      </c>
      <c r="AH519" s="97">
        <f t="shared" si="55"/>
        <v>434.46515140989504</v>
      </c>
      <c r="AI519" s="97">
        <f t="shared" si="55"/>
        <v>227.37230141569489</v>
      </c>
      <c r="AJ519" s="97">
        <f t="shared" si="55"/>
        <v>20.378968134664319</v>
      </c>
      <c r="AK519" s="97">
        <f t="shared" si="55"/>
        <v>-103.94765326320885</v>
      </c>
    </row>
    <row r="520" spans="1:37" s="9" customFormat="1" x14ac:dyDescent="0.25">
      <c r="B520" s="66"/>
      <c r="E520" s="9" t="s">
        <v>2046</v>
      </c>
      <c r="H520" s="9" t="s">
        <v>1015</v>
      </c>
      <c r="I520" s="97"/>
      <c r="J520" s="97"/>
      <c r="K520" s="97"/>
      <c r="L520" s="97"/>
      <c r="M520" s="97"/>
      <c r="N520" s="97"/>
      <c r="O520" s="97"/>
      <c r="P520" s="97"/>
      <c r="Q520" s="97">
        <f t="shared" ref="Q520:AK520" si="56">Q505-Q510</f>
        <v>1143</v>
      </c>
      <c r="R520" s="97">
        <f t="shared" si="56"/>
        <v>1073</v>
      </c>
      <c r="S520" s="97">
        <f t="shared" si="56"/>
        <v>988</v>
      </c>
      <c r="T520" s="97">
        <f t="shared" si="56"/>
        <v>1003</v>
      </c>
      <c r="U520" s="97">
        <f t="shared" si="56"/>
        <v>1043</v>
      </c>
      <c r="V520" s="97">
        <f t="shared" si="56"/>
        <v>1129</v>
      </c>
      <c r="W520" s="97">
        <f t="shared" si="56"/>
        <v>1293</v>
      </c>
      <c r="X520" s="97">
        <f t="shared" si="56"/>
        <v>1441</v>
      </c>
      <c r="Y520" s="97">
        <f t="shared" si="56"/>
        <v>1450</v>
      </c>
      <c r="Z520" s="97">
        <f t="shared" si="56"/>
        <v>1426</v>
      </c>
      <c r="AA520" s="97">
        <f t="shared" si="56"/>
        <v>1484.5613554429592</v>
      </c>
      <c r="AB520" s="97">
        <f t="shared" si="56"/>
        <v>1450.7956875625814</v>
      </c>
      <c r="AC520" s="97">
        <f t="shared" si="56"/>
        <v>1494.1703863415387</v>
      </c>
      <c r="AD520" s="97">
        <f t="shared" si="56"/>
        <v>1543.7655671838493</v>
      </c>
      <c r="AE520" s="97">
        <f t="shared" si="56"/>
        <v>1591.0504622526605</v>
      </c>
      <c r="AF520" s="97">
        <f t="shared" si="56"/>
        <v>1638.2229028739675</v>
      </c>
      <c r="AG520" s="97">
        <f t="shared" si="56"/>
        <v>1684.1428570267144</v>
      </c>
      <c r="AH520" s="97">
        <f t="shared" si="56"/>
        <v>1724.7484007559524</v>
      </c>
      <c r="AI520" s="97">
        <f t="shared" si="56"/>
        <v>1767.9588105220737</v>
      </c>
      <c r="AJ520" s="97">
        <f t="shared" si="56"/>
        <v>1810.9113982970284</v>
      </c>
      <c r="AK520" s="97">
        <f t="shared" si="56"/>
        <v>1741.9314797169463</v>
      </c>
    </row>
    <row r="521" spans="1:37" s="92" customFormat="1" x14ac:dyDescent="0.25"/>
    <row r="522" spans="1:37" s="98" customFormat="1" ht="17.25" x14ac:dyDescent="0.3">
      <c r="A522" s="98" t="s">
        <v>409</v>
      </c>
    </row>
    <row r="523" spans="1:37" x14ac:dyDescent="0.25">
      <c r="B523" s="64" t="s">
        <v>33</v>
      </c>
      <c r="C523" t="s">
        <v>336</v>
      </c>
    </row>
    <row r="524" spans="1:37" x14ac:dyDescent="0.25">
      <c r="B524" s="64" t="s">
        <v>1343</v>
      </c>
      <c r="C524" t="s">
        <v>1597</v>
      </c>
    </row>
    <row r="525" spans="1:37" s="223" customFormat="1" x14ac:dyDescent="0.25">
      <c r="B525" s="64"/>
      <c r="D525" s="223" t="s">
        <v>1344</v>
      </c>
    </row>
    <row r="526" spans="1:37" s="223" customFormat="1" x14ac:dyDescent="0.25">
      <c r="B526" s="64"/>
      <c r="D526" s="223" t="s">
        <v>1345</v>
      </c>
    </row>
    <row r="527" spans="1:37" x14ac:dyDescent="0.25">
      <c r="B527" s="64" t="s">
        <v>420</v>
      </c>
      <c r="C527" t="s">
        <v>1346</v>
      </c>
    </row>
    <row r="528" spans="1:37" x14ac:dyDescent="0.25">
      <c r="B528" s="64" t="s">
        <v>429</v>
      </c>
      <c r="C528" s="195" t="s">
        <v>5</v>
      </c>
    </row>
    <row r="529" spans="2:5" s="223" customFormat="1" x14ac:dyDescent="0.25">
      <c r="B529" s="64"/>
      <c r="C529" s="195" t="s">
        <v>1457</v>
      </c>
    </row>
    <row r="530" spans="2:5" s="223" customFormat="1" x14ac:dyDescent="0.25">
      <c r="B530" s="64"/>
      <c r="C530" s="195" t="s">
        <v>312</v>
      </c>
    </row>
    <row r="531" spans="2:5" s="223" customFormat="1" x14ac:dyDescent="0.25">
      <c r="B531" s="64"/>
      <c r="C531" s="165" t="s">
        <v>1458</v>
      </c>
    </row>
    <row r="532" spans="2:5" s="223" customFormat="1" x14ac:dyDescent="0.25">
      <c r="B532" s="64"/>
      <c r="C532" s="195" t="s">
        <v>707</v>
      </c>
    </row>
    <row r="533" spans="2:5" s="223" customFormat="1" x14ac:dyDescent="0.25">
      <c r="B533" s="64"/>
      <c r="C533" s="195" t="s">
        <v>782</v>
      </c>
    </row>
    <row r="534" spans="2:5" s="223" customFormat="1" x14ac:dyDescent="0.25">
      <c r="B534" s="64"/>
      <c r="C534" s="195" t="s">
        <v>1459</v>
      </c>
    </row>
    <row r="535" spans="2:5" s="223" customFormat="1" x14ac:dyDescent="0.25">
      <c r="B535" s="64"/>
      <c r="C535" s="195" t="s">
        <v>1460</v>
      </c>
    </row>
    <row r="536" spans="2:5" s="223" customFormat="1" x14ac:dyDescent="0.25">
      <c r="B536" s="64"/>
      <c r="C536" s="195" t="s">
        <v>1461</v>
      </c>
    </row>
    <row r="537" spans="2:5" s="223" customFormat="1" x14ac:dyDescent="0.25">
      <c r="B537" s="64"/>
      <c r="C537" s="195" t="s">
        <v>369</v>
      </c>
    </row>
    <row r="538" spans="2:5" s="223" customFormat="1" x14ac:dyDescent="0.25">
      <c r="B538" s="64"/>
      <c r="C538" s="195" t="s">
        <v>1464</v>
      </c>
    </row>
    <row r="539" spans="2:5" s="223" customFormat="1" x14ac:dyDescent="0.25">
      <c r="B539" s="64"/>
      <c r="C539" s="195" t="s">
        <v>669</v>
      </c>
    </row>
    <row r="540" spans="2:5" s="223" customFormat="1" x14ac:dyDescent="0.25">
      <c r="B540" s="64"/>
      <c r="C540" s="195" t="s">
        <v>1239</v>
      </c>
    </row>
    <row r="541" spans="2:5" x14ac:dyDescent="0.25">
      <c r="B541" s="64" t="s">
        <v>421</v>
      </c>
      <c r="C541" t="s">
        <v>1371</v>
      </c>
    </row>
    <row r="542" spans="2:5" s="223" customFormat="1" x14ac:dyDescent="0.25">
      <c r="B542" s="64"/>
      <c r="D542" s="223" t="s">
        <v>1598</v>
      </c>
    </row>
    <row r="543" spans="2:5" s="223" customFormat="1" x14ac:dyDescent="0.25">
      <c r="B543" s="64"/>
      <c r="E543" s="97" t="s">
        <v>1366</v>
      </c>
    </row>
    <row r="544" spans="2:5" s="223" customFormat="1" x14ac:dyDescent="0.25">
      <c r="B544" s="64"/>
      <c r="E544" s="223" t="s">
        <v>1368</v>
      </c>
    </row>
    <row r="545" spans="2:5" s="223" customFormat="1" x14ac:dyDescent="0.25">
      <c r="B545" s="64"/>
      <c r="E545" s="223" t="s">
        <v>1599</v>
      </c>
    </row>
    <row r="546" spans="2:5" s="223" customFormat="1" x14ac:dyDescent="0.25">
      <c r="B546" s="64"/>
      <c r="E546" s="223" t="s">
        <v>1370</v>
      </c>
    </row>
    <row r="547" spans="2:5" x14ac:dyDescent="0.25">
      <c r="B547" s="64" t="s">
        <v>425</v>
      </c>
      <c r="C547" t="s">
        <v>1372</v>
      </c>
    </row>
    <row r="548" spans="2:5" s="223" customFormat="1" x14ac:dyDescent="0.25">
      <c r="B548" s="64"/>
      <c r="D548" s="223" t="s">
        <v>1600</v>
      </c>
    </row>
    <row r="549" spans="2:5" x14ac:dyDescent="0.25">
      <c r="B549" s="64" t="s">
        <v>333</v>
      </c>
      <c r="C549" t="s">
        <v>1373</v>
      </c>
    </row>
    <row r="550" spans="2:5" s="223" customFormat="1" x14ac:dyDescent="0.25">
      <c r="B550" s="64"/>
      <c r="C550" s="223" t="s">
        <v>1374</v>
      </c>
    </row>
    <row r="551" spans="2:5" s="223" customFormat="1" x14ac:dyDescent="0.25">
      <c r="B551" s="64"/>
      <c r="C551" s="223" t="s">
        <v>1377</v>
      </c>
    </row>
    <row r="552" spans="2:5" s="223" customFormat="1" x14ac:dyDescent="0.25">
      <c r="B552" s="64"/>
      <c r="C552" s="223" t="s">
        <v>1376</v>
      </c>
    </row>
    <row r="553" spans="2:5" s="223" customFormat="1" x14ac:dyDescent="0.25">
      <c r="B553" s="64" t="s">
        <v>334</v>
      </c>
      <c r="C553" s="223" t="s">
        <v>1375</v>
      </c>
    </row>
    <row r="554" spans="2:5" s="223" customFormat="1" x14ac:dyDescent="0.25">
      <c r="B554" s="64"/>
      <c r="C554" s="223" t="s">
        <v>1382</v>
      </c>
    </row>
    <row r="555" spans="2:5" s="223" customFormat="1" x14ac:dyDescent="0.25">
      <c r="B555" s="64"/>
      <c r="C555" s="223" t="s">
        <v>1378</v>
      </c>
    </row>
    <row r="556" spans="2:5" s="223" customFormat="1" x14ac:dyDescent="0.25">
      <c r="B556" s="64"/>
      <c r="D556" s="223" t="s">
        <v>1380</v>
      </c>
    </row>
    <row r="557" spans="2:5" s="223" customFormat="1" x14ac:dyDescent="0.25">
      <c r="B557" s="64"/>
      <c r="C557" s="223" t="s">
        <v>1381</v>
      </c>
    </row>
    <row r="558" spans="2:5" s="121" customFormat="1" ht="15.75" thickBot="1" x14ac:dyDescent="0.3">
      <c r="B558" s="130"/>
      <c r="C558" s="121" t="s">
        <v>1379</v>
      </c>
    </row>
    <row r="559" spans="2:5" ht="15.75" thickTop="1" x14ac:dyDescent="0.25"/>
    <row r="574" spans="2:37" s="5" customFormat="1" x14ac:dyDescent="0.25">
      <c r="B574" s="66" t="s">
        <v>34</v>
      </c>
      <c r="C574" s="5" t="s">
        <v>623</v>
      </c>
    </row>
    <row r="575" spans="2:37" s="9" customFormat="1" x14ac:dyDescent="0.25">
      <c r="D575" s="51" t="s">
        <v>35</v>
      </c>
      <c r="H575" s="9" t="s">
        <v>1015</v>
      </c>
      <c r="I575" s="97">
        <f>Datasheet!I103</f>
        <v>8151</v>
      </c>
      <c r="J575" s="97">
        <f>Datasheet!J103</f>
        <v>8338</v>
      </c>
      <c r="K575" s="97">
        <f>Datasheet!K103</f>
        <v>8659</v>
      </c>
      <c r="L575" s="97">
        <f>Datasheet!L103</f>
        <v>8815</v>
      </c>
      <c r="M575" s="97">
        <f>Datasheet!M103</f>
        <v>9072</v>
      </c>
      <c r="N575" s="97">
        <f>Datasheet!N103</f>
        <v>9238</v>
      </c>
      <c r="O575" s="97">
        <f>Datasheet!O103</f>
        <v>9403</v>
      </c>
      <c r="P575" s="97">
        <f>Datasheet!P103</f>
        <v>9584</v>
      </c>
      <c r="Q575" s="97">
        <f>Datasheet!Q103</f>
        <v>9754</v>
      </c>
      <c r="R575" s="97">
        <f>Datasheet!R103</f>
        <v>9822</v>
      </c>
      <c r="S575" s="97">
        <f>Datasheet!S103</f>
        <v>9889</v>
      </c>
      <c r="T575" s="97">
        <f>Datasheet!T103</f>
        <v>9952</v>
      </c>
      <c r="U575" s="97">
        <f>Datasheet!U103</f>
        <v>10058</v>
      </c>
      <c r="V575" s="97">
        <f>Datasheet!V103</f>
        <v>10185</v>
      </c>
      <c r="W575" s="97">
        <f>Datasheet!W103</f>
        <v>10318</v>
      </c>
      <c r="X575" s="97">
        <f>Datasheet!X103</f>
        <v>10444</v>
      </c>
      <c r="Y575" s="97">
        <f>Datasheet!Y103</f>
        <v>10623</v>
      </c>
      <c r="Z575" s="97">
        <f>Datasheet!Z103</f>
        <v>10841</v>
      </c>
      <c r="AA575" s="97">
        <f>Datasheet!AA103</f>
        <v>11063</v>
      </c>
      <c r="AB575" s="97">
        <f>Datasheet!AB103</f>
        <v>11063</v>
      </c>
      <c r="AC575" s="97">
        <f>Datasheet!AC103</f>
        <v>11063</v>
      </c>
      <c r="AD575" s="97">
        <f>Datasheet!AD103</f>
        <v>11063</v>
      </c>
      <c r="AE575" s="97">
        <f>Datasheet!AE103</f>
        <v>11063</v>
      </c>
      <c r="AF575" s="97">
        <f>Datasheet!AF103</f>
        <v>11063</v>
      </c>
      <c r="AG575" s="97">
        <f>Datasheet!AG103</f>
        <v>11063</v>
      </c>
      <c r="AH575" s="97">
        <f>Datasheet!AH103</f>
        <v>11063</v>
      </c>
      <c r="AI575" s="97">
        <f>Datasheet!AI103</f>
        <v>11063</v>
      </c>
      <c r="AJ575" s="97">
        <f>Datasheet!AJ103</f>
        <v>11063</v>
      </c>
      <c r="AK575" s="97">
        <f>Datasheet!AK103</f>
        <v>11063</v>
      </c>
    </row>
    <row r="576" spans="2:37" s="9" customFormat="1" x14ac:dyDescent="0.25">
      <c r="B576" s="66"/>
      <c r="D576" s="51" t="s">
        <v>38</v>
      </c>
      <c r="H576" s="9" t="s">
        <v>1016</v>
      </c>
      <c r="I576" s="97">
        <f>Datasheet!I117</f>
        <v>5434</v>
      </c>
      <c r="J576" s="97">
        <f>Datasheet!J117</f>
        <v>5473</v>
      </c>
      <c r="K576" s="97">
        <f>Datasheet!K117</f>
        <v>5522</v>
      </c>
      <c r="L576" s="97">
        <f>Datasheet!L117</f>
        <v>5608</v>
      </c>
      <c r="M576" s="97">
        <f>Datasheet!M117</f>
        <v>5696</v>
      </c>
      <c r="N576" s="97">
        <f>Datasheet!N117</f>
        <v>5750</v>
      </c>
      <c r="O576" s="97">
        <f>Datasheet!O117</f>
        <v>5776</v>
      </c>
      <c r="P576" s="97">
        <f>Datasheet!P117</f>
        <v>5803</v>
      </c>
      <c r="Q576" s="97">
        <f>Datasheet!Q117</f>
        <v>5838</v>
      </c>
      <c r="R576" s="97">
        <f>Datasheet!R117</f>
        <v>5839</v>
      </c>
      <c r="S576" s="97">
        <f>Datasheet!S117</f>
        <v>5865</v>
      </c>
      <c r="T576" s="97">
        <f>Datasheet!T117</f>
        <v>5865</v>
      </c>
      <c r="U576" s="97">
        <f>Datasheet!U117</f>
        <v>5922</v>
      </c>
      <c r="V576" s="97">
        <f>Datasheet!V117</f>
        <v>5922</v>
      </c>
      <c r="W576" s="97">
        <f>Datasheet!W117</f>
        <v>5922</v>
      </c>
      <c r="X576" s="97">
        <f>Datasheet!X117</f>
        <v>6052</v>
      </c>
      <c r="Y576" s="97">
        <f>Datasheet!Y117</f>
        <v>6158</v>
      </c>
      <c r="Z576" s="97">
        <f>Datasheet!Z117</f>
        <v>6161</v>
      </c>
      <c r="AA576" s="97">
        <f>Datasheet!AA117</f>
        <v>6199</v>
      </c>
      <c r="AB576" s="97">
        <f>Datasheet!AB117</f>
        <v>6199</v>
      </c>
      <c r="AC576" s="97">
        <f>Datasheet!AC117</f>
        <v>6199</v>
      </c>
      <c r="AD576" s="97">
        <f>Datasheet!AD117</f>
        <v>6199</v>
      </c>
      <c r="AE576" s="97">
        <f>Datasheet!AE117</f>
        <v>6199</v>
      </c>
      <c r="AF576" s="97">
        <f>Datasheet!AF117</f>
        <v>6199</v>
      </c>
      <c r="AG576" s="97">
        <f>Datasheet!AG117</f>
        <v>6199</v>
      </c>
      <c r="AH576" s="97">
        <f>Datasheet!AH117</f>
        <v>6199</v>
      </c>
      <c r="AI576" s="97">
        <f>Datasheet!AI117</f>
        <v>6199</v>
      </c>
      <c r="AJ576" s="97">
        <f>Datasheet!AJ117</f>
        <v>6199</v>
      </c>
      <c r="AK576" s="97">
        <f>Datasheet!AK117</f>
        <v>6199</v>
      </c>
    </row>
    <row r="577" spans="2:37" s="9" customFormat="1" x14ac:dyDescent="0.25">
      <c r="B577" s="66"/>
      <c r="D577" s="51" t="s">
        <v>616</v>
      </c>
      <c r="H577" s="9" t="s">
        <v>1017</v>
      </c>
      <c r="I577" s="97">
        <f>Datasheet!I125</f>
        <v>4043821</v>
      </c>
      <c r="J577" s="97">
        <f>Datasheet!J125</f>
        <v>4216005</v>
      </c>
      <c r="K577" s="97">
        <f>Datasheet!K125</f>
        <v>4370693</v>
      </c>
      <c r="L577" s="97">
        <f>Datasheet!L125</f>
        <v>4402546</v>
      </c>
      <c r="M577" s="97">
        <f>Datasheet!M125</f>
        <v>4474559</v>
      </c>
      <c r="N577" s="97">
        <f>Datasheet!N125</f>
        <v>4616852</v>
      </c>
      <c r="O577" s="97">
        <f>Datasheet!O125</f>
        <v>4687488</v>
      </c>
      <c r="P577" s="97">
        <f>Datasheet!P125</f>
        <v>4867335</v>
      </c>
      <c r="Q577" s="97">
        <f>Datasheet!Q125</f>
        <v>4908648</v>
      </c>
      <c r="R577" s="97">
        <f>Datasheet!R125</f>
        <v>4914925</v>
      </c>
      <c r="S577" s="97">
        <f>Datasheet!S125</f>
        <v>4941482</v>
      </c>
      <c r="T577" s="97">
        <f>Datasheet!T125</f>
        <v>4984060</v>
      </c>
      <c r="U577" s="97">
        <f>Datasheet!U125</f>
        <v>5089455</v>
      </c>
      <c r="V577" s="97">
        <f>Datasheet!V125</f>
        <v>5107607</v>
      </c>
      <c r="W577" s="97">
        <f>Datasheet!W125</f>
        <v>5156933</v>
      </c>
      <c r="X577" s="97">
        <f>Datasheet!X125</f>
        <v>5205404</v>
      </c>
      <c r="Y577" s="97">
        <f>Datasheet!Y125</f>
        <v>5218706</v>
      </c>
      <c r="Z577" s="97">
        <f>Datasheet!Z125</f>
        <v>5270722</v>
      </c>
      <c r="AA577" s="97">
        <f>Datasheet!AA125</f>
        <v>5301114</v>
      </c>
      <c r="AB577" s="97">
        <f>Datasheet!AB125</f>
        <v>5301114</v>
      </c>
      <c r="AC577" s="97">
        <f>Datasheet!AC125</f>
        <v>5301114</v>
      </c>
      <c r="AD577" s="97">
        <f>Datasheet!AD125</f>
        <v>5301114</v>
      </c>
      <c r="AE577" s="97">
        <f>Datasheet!AE125</f>
        <v>5301114</v>
      </c>
      <c r="AF577" s="97">
        <f>Datasheet!AF125</f>
        <v>5301114</v>
      </c>
      <c r="AG577" s="97">
        <f>Datasheet!AG125</f>
        <v>5301114</v>
      </c>
      <c r="AH577" s="97">
        <f>Datasheet!AH125</f>
        <v>5301114</v>
      </c>
      <c r="AI577" s="97">
        <f>Datasheet!AI125</f>
        <v>5301114</v>
      </c>
      <c r="AJ577" s="97">
        <f>Datasheet!AJ125</f>
        <v>5301114</v>
      </c>
      <c r="AK577" s="97">
        <f>Datasheet!AK125</f>
        <v>5301114</v>
      </c>
    </row>
    <row r="578" spans="2:37" s="9" customFormat="1" x14ac:dyDescent="0.25">
      <c r="B578" s="66"/>
      <c r="D578" s="51" t="s">
        <v>617</v>
      </c>
      <c r="H578" s="9" t="s">
        <v>1017</v>
      </c>
      <c r="I578" s="97">
        <f>Datasheet!I133</f>
        <v>1359234</v>
      </c>
      <c r="J578" s="97">
        <f>Datasheet!J133</f>
        <v>1374236</v>
      </c>
      <c r="K578" s="97">
        <f>Datasheet!K133</f>
        <v>1407200</v>
      </c>
      <c r="L578" s="97">
        <f>Datasheet!L133</f>
        <v>1503394</v>
      </c>
      <c r="M578" s="97">
        <f>Datasheet!M133</f>
        <v>1689817</v>
      </c>
      <c r="N578" s="97">
        <f>Datasheet!N133</f>
        <v>1880256</v>
      </c>
      <c r="O578" s="97">
        <f>Datasheet!O133</f>
        <v>1887314</v>
      </c>
      <c r="P578" s="97">
        <f>Datasheet!P133</f>
        <v>1890993</v>
      </c>
      <c r="Q578" s="97">
        <f>Datasheet!Q133</f>
        <v>1926584</v>
      </c>
      <c r="R578" s="97">
        <f>Datasheet!R133</f>
        <v>1987271</v>
      </c>
      <c r="S578" s="97">
        <f>Datasheet!S133</f>
        <v>2017229</v>
      </c>
      <c r="T578" s="97">
        <f>Datasheet!T133</f>
        <v>2019732</v>
      </c>
      <c r="U578" s="97">
        <f>Datasheet!U133</f>
        <v>2029316</v>
      </c>
      <c r="V578" s="97">
        <f>Datasheet!V133</f>
        <v>2062797</v>
      </c>
      <c r="W578" s="97">
        <f>Datasheet!W133</f>
        <v>2067064</v>
      </c>
      <c r="X578" s="97">
        <f>Datasheet!X133</f>
        <v>2068346</v>
      </c>
      <c r="Y578" s="97">
        <f>Datasheet!Y133</f>
        <v>2157800</v>
      </c>
      <c r="Z578" s="97">
        <f>Datasheet!Z133</f>
        <v>2221476</v>
      </c>
      <c r="AA578" s="97">
        <f>Datasheet!AA133</f>
        <v>2251390</v>
      </c>
      <c r="AB578" s="97">
        <f>Datasheet!AB133</f>
        <v>2251390</v>
      </c>
      <c r="AC578" s="97">
        <f>Datasheet!AC133</f>
        <v>2251390</v>
      </c>
      <c r="AD578" s="97">
        <f>Datasheet!AD133</f>
        <v>2251390</v>
      </c>
      <c r="AE578" s="97">
        <f>Datasheet!AE133</f>
        <v>2251390</v>
      </c>
      <c r="AF578" s="97">
        <f>Datasheet!AF133</f>
        <v>2251390</v>
      </c>
      <c r="AG578" s="97">
        <f>Datasheet!AG133</f>
        <v>2251390</v>
      </c>
      <c r="AH578" s="97">
        <f>Datasheet!AH133</f>
        <v>2251390</v>
      </c>
      <c r="AI578" s="97">
        <f>Datasheet!AI133</f>
        <v>2251390</v>
      </c>
      <c r="AJ578" s="97">
        <f>Datasheet!AJ133</f>
        <v>2251390</v>
      </c>
      <c r="AK578" s="97">
        <f>Datasheet!AK133</f>
        <v>2251390</v>
      </c>
    </row>
    <row r="579" spans="2:37" s="9" customFormat="1" x14ac:dyDescent="0.25">
      <c r="B579" s="66"/>
      <c r="D579" s="51" t="s">
        <v>618</v>
      </c>
      <c r="H579" s="9" t="s">
        <v>1514</v>
      </c>
      <c r="I579" s="97">
        <f>I662</f>
        <v>0</v>
      </c>
      <c r="J579" s="97">
        <f t="shared" ref="J579:AK579" si="57">J662</f>
        <v>0</v>
      </c>
      <c r="K579" s="97">
        <f t="shared" si="57"/>
        <v>0</v>
      </c>
      <c r="L579" s="97">
        <f t="shared" si="57"/>
        <v>0</v>
      </c>
      <c r="M579" s="97">
        <f t="shared" si="57"/>
        <v>0</v>
      </c>
      <c r="N579" s="97">
        <f t="shared" si="57"/>
        <v>0</v>
      </c>
      <c r="O579" s="97">
        <f t="shared" si="57"/>
        <v>0</v>
      </c>
      <c r="P579" s="97">
        <f t="shared" si="57"/>
        <v>0</v>
      </c>
      <c r="Q579" s="97">
        <f t="shared" si="57"/>
        <v>62689.600932795875</v>
      </c>
      <c r="R579" s="97">
        <f t="shared" si="57"/>
        <v>62403.223151453087</v>
      </c>
      <c r="S579" s="97">
        <f t="shared" si="57"/>
        <v>63689.712343710795</v>
      </c>
      <c r="T579" s="97">
        <f t="shared" si="57"/>
        <v>63570.795122369469</v>
      </c>
      <c r="U579" s="97">
        <f t="shared" si="57"/>
        <v>65469.619034800147</v>
      </c>
      <c r="V579" s="97">
        <f t="shared" si="57"/>
        <v>66360.775553114217</v>
      </c>
      <c r="W579" s="97">
        <f t="shared" si="57"/>
        <v>67195.909020644511</v>
      </c>
      <c r="X579" s="97">
        <f t="shared" si="57"/>
        <v>67792.447827761222</v>
      </c>
      <c r="Y579" s="97">
        <f t="shared" si="57"/>
        <v>65980.31353524873</v>
      </c>
      <c r="Z579" s="97">
        <f t="shared" si="57"/>
        <v>66129.895691589758</v>
      </c>
      <c r="AA579" s="97" t="e">
        <f t="shared" si="57"/>
        <v>#DIV/0!</v>
      </c>
      <c r="AB579" s="97" t="e">
        <f t="shared" si="57"/>
        <v>#DIV/0!</v>
      </c>
      <c r="AC579" s="97" t="e">
        <f t="shared" si="57"/>
        <v>#DIV/0!</v>
      </c>
      <c r="AD579" s="97" t="e">
        <f t="shared" si="57"/>
        <v>#DIV/0!</v>
      </c>
      <c r="AE579" s="97" t="e">
        <f t="shared" si="57"/>
        <v>#DIV/0!</v>
      </c>
      <c r="AF579" s="97" t="e">
        <f t="shared" si="57"/>
        <v>#DIV/0!</v>
      </c>
      <c r="AG579" s="97" t="e">
        <f t="shared" si="57"/>
        <v>#DIV/0!</v>
      </c>
      <c r="AH579" s="97" t="e">
        <f t="shared" si="57"/>
        <v>#DIV/0!</v>
      </c>
      <c r="AI579" s="97" t="e">
        <f t="shared" si="57"/>
        <v>#DIV/0!</v>
      </c>
      <c r="AJ579" s="97" t="e">
        <f t="shared" si="57"/>
        <v>#DIV/0!</v>
      </c>
      <c r="AK579" s="97" t="e">
        <f t="shared" si="57"/>
        <v>#DIV/0!</v>
      </c>
    </row>
    <row r="580" spans="2:37" s="9" customFormat="1" x14ac:dyDescent="0.25">
      <c r="B580" s="66"/>
      <c r="D580" s="51" t="s">
        <v>619</v>
      </c>
      <c r="H580" s="9" t="s">
        <v>1514</v>
      </c>
      <c r="I580" s="97">
        <f>I663</f>
        <v>0</v>
      </c>
      <c r="J580" s="97">
        <f t="shared" ref="J580:AK580" si="58">J663</f>
        <v>0</v>
      </c>
      <c r="K580" s="97">
        <f t="shared" si="58"/>
        <v>0</v>
      </c>
      <c r="L580" s="97">
        <f t="shared" si="58"/>
        <v>0</v>
      </c>
      <c r="M580" s="97">
        <f t="shared" si="58"/>
        <v>0</v>
      </c>
      <c r="N580" s="97">
        <f t="shared" si="58"/>
        <v>0</v>
      </c>
      <c r="O580" s="97">
        <f t="shared" si="58"/>
        <v>0</v>
      </c>
      <c r="P580" s="97">
        <f t="shared" si="58"/>
        <v>0</v>
      </c>
      <c r="Q580" s="97">
        <f t="shared" si="58"/>
        <v>39884.908790538648</v>
      </c>
      <c r="R580" s="97">
        <f t="shared" si="58"/>
        <v>39692.069694930411</v>
      </c>
      <c r="S580" s="97">
        <f t="shared" si="58"/>
        <v>41315.033767195433</v>
      </c>
      <c r="T580" s="97">
        <f t="shared" si="58"/>
        <v>42503.59401513898</v>
      </c>
      <c r="U580" s="97">
        <f t="shared" si="58"/>
        <v>44673.512410646581</v>
      </c>
      <c r="V580" s="97">
        <f t="shared" si="58"/>
        <v>45226.973641100958</v>
      </c>
      <c r="W580" s="97">
        <f t="shared" si="58"/>
        <v>45924.550808296735</v>
      </c>
      <c r="X580" s="97">
        <f t="shared" si="58"/>
        <v>46870.170035992458</v>
      </c>
      <c r="Y580" s="97">
        <f t="shared" si="58"/>
        <v>47354.015584396453</v>
      </c>
      <c r="Z580" s="97">
        <f t="shared" si="58"/>
        <v>48544.626918992893</v>
      </c>
      <c r="AA580" s="97" t="e">
        <f t="shared" si="58"/>
        <v>#DIV/0!</v>
      </c>
      <c r="AB580" s="97" t="e">
        <f t="shared" si="58"/>
        <v>#DIV/0!</v>
      </c>
      <c r="AC580" s="97" t="e">
        <f t="shared" si="58"/>
        <v>#DIV/0!</v>
      </c>
      <c r="AD580" s="97" t="e">
        <f t="shared" si="58"/>
        <v>#DIV/0!</v>
      </c>
      <c r="AE580" s="97" t="e">
        <f t="shared" si="58"/>
        <v>#DIV/0!</v>
      </c>
      <c r="AF580" s="97" t="e">
        <f t="shared" si="58"/>
        <v>#DIV/0!</v>
      </c>
      <c r="AG580" s="97" t="e">
        <f t="shared" si="58"/>
        <v>#DIV/0!</v>
      </c>
      <c r="AH580" s="97" t="e">
        <f t="shared" si="58"/>
        <v>#DIV/0!</v>
      </c>
      <c r="AI580" s="97" t="e">
        <f t="shared" si="58"/>
        <v>#DIV/0!</v>
      </c>
      <c r="AJ580" s="97" t="e">
        <f t="shared" si="58"/>
        <v>#DIV/0!</v>
      </c>
      <c r="AK580" s="97" t="e">
        <f t="shared" si="58"/>
        <v>#DIV/0!</v>
      </c>
    </row>
    <row r="581" spans="2:37" s="9" customFormat="1" x14ac:dyDescent="0.25">
      <c r="B581" s="66"/>
      <c r="D581" s="51" t="s">
        <v>620</v>
      </c>
      <c r="H581" s="9" t="s">
        <v>1514</v>
      </c>
      <c r="I581" s="97">
        <f>I664</f>
        <v>0</v>
      </c>
      <c r="J581" s="97">
        <f t="shared" ref="J581:AK581" si="59">J664</f>
        <v>0</v>
      </c>
      <c r="K581" s="97">
        <f t="shared" si="59"/>
        <v>0</v>
      </c>
      <c r="L581" s="97">
        <f t="shared" si="59"/>
        <v>0</v>
      </c>
      <c r="M581" s="97">
        <f t="shared" si="59"/>
        <v>0</v>
      </c>
      <c r="N581" s="97">
        <f t="shared" si="59"/>
        <v>0</v>
      </c>
      <c r="O581" s="97">
        <f t="shared" si="59"/>
        <v>0</v>
      </c>
      <c r="P581" s="97">
        <f t="shared" si="59"/>
        <v>0</v>
      </c>
      <c r="Q581" s="97">
        <f t="shared" si="59"/>
        <v>34874.288667470886</v>
      </c>
      <c r="R581" s="97">
        <f t="shared" si="59"/>
        <v>34405.871718960909</v>
      </c>
      <c r="S581" s="97">
        <f t="shared" si="59"/>
        <v>36281.470800200892</v>
      </c>
      <c r="T581" s="97">
        <f t="shared" si="59"/>
        <v>35907.728284780438</v>
      </c>
      <c r="U581" s="97">
        <f t="shared" si="59"/>
        <v>38075.912584606493</v>
      </c>
      <c r="V581" s="97">
        <f t="shared" si="59"/>
        <v>38663.350396666014</v>
      </c>
      <c r="W581" s="97">
        <f t="shared" si="59"/>
        <v>39910.444435660254</v>
      </c>
      <c r="X581" s="97">
        <f t="shared" si="59"/>
        <v>40189.936627950818</v>
      </c>
      <c r="Y581" s="97">
        <f t="shared" si="59"/>
        <v>40579.231488521342</v>
      </c>
      <c r="Z581" s="97">
        <f t="shared" si="59"/>
        <v>40835.381433298848</v>
      </c>
      <c r="AA581" s="97" t="e">
        <f t="shared" si="59"/>
        <v>#DIV/0!</v>
      </c>
      <c r="AB581" s="97" t="e">
        <f t="shared" si="59"/>
        <v>#DIV/0!</v>
      </c>
      <c r="AC581" s="97" t="e">
        <f t="shared" si="59"/>
        <v>#DIV/0!</v>
      </c>
      <c r="AD581" s="97" t="e">
        <f t="shared" si="59"/>
        <v>#DIV/0!</v>
      </c>
      <c r="AE581" s="97" t="e">
        <f t="shared" si="59"/>
        <v>#DIV/0!</v>
      </c>
      <c r="AF581" s="97" t="e">
        <f t="shared" si="59"/>
        <v>#DIV/0!</v>
      </c>
      <c r="AG581" s="97" t="e">
        <f t="shared" si="59"/>
        <v>#DIV/0!</v>
      </c>
      <c r="AH581" s="97" t="e">
        <f t="shared" si="59"/>
        <v>#DIV/0!</v>
      </c>
      <c r="AI581" s="97" t="e">
        <f t="shared" si="59"/>
        <v>#DIV/0!</v>
      </c>
      <c r="AJ581" s="97" t="e">
        <f t="shared" si="59"/>
        <v>#DIV/0!</v>
      </c>
      <c r="AK581" s="97" t="e">
        <f t="shared" si="59"/>
        <v>#DIV/0!</v>
      </c>
    </row>
    <row r="582" spans="2:37" s="9" customFormat="1" x14ac:dyDescent="0.25">
      <c r="B582" s="66"/>
      <c r="D582" s="51" t="s">
        <v>853</v>
      </c>
      <c r="H582" s="9" t="s">
        <v>1118</v>
      </c>
      <c r="I582" s="97">
        <f>Datasheet!I369</f>
        <v>16688.416666666668</v>
      </c>
      <c r="J582" s="97">
        <f>Datasheet!J369</f>
        <v>16546.083333333332</v>
      </c>
      <c r="K582" s="97">
        <f>Datasheet!K369</f>
        <v>16730.083333333332</v>
      </c>
      <c r="L582" s="97">
        <f>Datasheet!L369</f>
        <v>17250.833333333332</v>
      </c>
      <c r="M582" s="97">
        <f>Datasheet!M369</f>
        <v>17942.583333333332</v>
      </c>
      <c r="N582" s="97">
        <f>Datasheet!N369</f>
        <v>18444.75</v>
      </c>
      <c r="O582" s="97">
        <f>Datasheet!O369</f>
        <v>18906.166666666668</v>
      </c>
      <c r="P582" s="97">
        <f>Datasheet!P369</f>
        <v>17414.833333333332</v>
      </c>
      <c r="Q582" s="97">
        <f>Datasheet!Q369</f>
        <v>16937.583333333332</v>
      </c>
      <c r="R582" s="97">
        <f>Datasheet!R369</f>
        <v>16945.5</v>
      </c>
      <c r="S582" s="97">
        <f>Datasheet!S369</f>
        <v>17418.666666666668</v>
      </c>
      <c r="T582" s="97">
        <f>Datasheet!T369</f>
        <v>18106.833333333332</v>
      </c>
      <c r="U582" s="97">
        <f>Datasheet!U369</f>
        <v>18835.583333333332</v>
      </c>
      <c r="V582" s="97">
        <f>Datasheet!V369</f>
        <v>19496.583333333332</v>
      </c>
      <c r="W582" s="97">
        <f>Datasheet!W369</f>
        <v>20232</v>
      </c>
      <c r="X582" s="97">
        <f>Datasheet!X369</f>
        <v>20783.583333333332</v>
      </c>
      <c r="Y582" s="97">
        <f>Datasheet!Y369</f>
        <v>20959.25</v>
      </c>
      <c r="Z582" s="97">
        <f>Datasheet!Z369</f>
        <v>21429.083333333332</v>
      </c>
      <c r="AA582" s="97" t="e">
        <f>Datasheet!AA369</f>
        <v>#DIV/0!</v>
      </c>
      <c r="AB582" s="97" t="e">
        <f>Datasheet!AB369</f>
        <v>#DIV/0!</v>
      </c>
      <c r="AC582" s="97" t="e">
        <f>Datasheet!AC369</f>
        <v>#DIV/0!</v>
      </c>
      <c r="AD582" s="97" t="e">
        <f>Datasheet!AD369</f>
        <v>#DIV/0!</v>
      </c>
      <c r="AE582" s="97" t="e">
        <f>Datasheet!AE369</f>
        <v>#DIV/0!</v>
      </c>
      <c r="AF582" s="97" t="e">
        <f>Datasheet!AF369</f>
        <v>#DIV/0!</v>
      </c>
      <c r="AG582" s="97" t="e">
        <f>Datasheet!AG369</f>
        <v>#DIV/0!</v>
      </c>
      <c r="AH582" s="97" t="e">
        <f>Datasheet!AH369</f>
        <v>#DIV/0!</v>
      </c>
      <c r="AI582" s="97" t="e">
        <f>Datasheet!AI369</f>
        <v>#DIV/0!</v>
      </c>
      <c r="AJ582" s="97" t="e">
        <f>Datasheet!AJ369</f>
        <v>#DIV/0!</v>
      </c>
      <c r="AK582" s="97" t="e">
        <f>Datasheet!AK369</f>
        <v>#DIV/0!</v>
      </c>
    </row>
    <row r="583" spans="2:37" s="9" customFormat="1" x14ac:dyDescent="0.25">
      <c r="B583" s="66"/>
      <c r="D583" s="51"/>
      <c r="E583" s="174" t="s">
        <v>852</v>
      </c>
      <c r="H583" s="9" t="s">
        <v>1515</v>
      </c>
      <c r="I583" s="133">
        <f>Datasheet!I240/Datasheet!I336</f>
        <v>1.2282210543080108</v>
      </c>
      <c r="J583" s="133">
        <f>Datasheet!J240/Datasheet!J336</f>
        <v>1.2135214517990141</v>
      </c>
      <c r="K583" s="133">
        <f>Datasheet!K240/Datasheet!K336</f>
        <v>1.2158010992962449</v>
      </c>
      <c r="L583" s="133">
        <f>Datasheet!L240/Datasheet!L336</f>
        <v>1.2461287693561531</v>
      </c>
      <c r="M583" s="133">
        <f>Datasheet!M240/Datasheet!M336</f>
        <v>1.2848006395523133</v>
      </c>
      <c r="N583" s="133">
        <f>Datasheet!N240/Datasheet!N336</f>
        <v>1.3202911293474013</v>
      </c>
      <c r="O583" s="133">
        <f>Datasheet!O240/Datasheet!O336</f>
        <v>1.3354774156660949</v>
      </c>
      <c r="P583" s="133">
        <f>Datasheet!P240/Datasheet!P336</f>
        <v>1.2609740015071591</v>
      </c>
      <c r="Q583" s="133">
        <f>Datasheet!Q240/Datasheet!Q336</f>
        <v>1.2353493613824191</v>
      </c>
      <c r="R583" s="133">
        <f>Datasheet!R240/Datasheet!R336</f>
        <v>1.2425049033342672</v>
      </c>
      <c r="S583" s="133">
        <f>Datasheet!S240/Datasheet!S336</f>
        <v>1.2647058823529411</v>
      </c>
      <c r="T583" s="133">
        <f>Datasheet!T240/Datasheet!T336</f>
        <v>1.2840241989693031</v>
      </c>
      <c r="U583" s="133">
        <f>Datasheet!U240/Datasheet!U336</f>
        <v>1.3128705045448557</v>
      </c>
      <c r="V583" s="133">
        <f>Datasheet!V240/Datasheet!V336</f>
        <v>1.3325378574217903</v>
      </c>
      <c r="W583" s="133">
        <f>Datasheet!W240/Datasheet!W336</f>
        <v>1.3803477662046999</v>
      </c>
      <c r="X583" s="133">
        <f>Datasheet!X240/Datasheet!X336</f>
        <v>1.40014539856312</v>
      </c>
      <c r="Y583" s="133">
        <f>Datasheet!Y240/Datasheet!Y336</f>
        <v>1.4452275559757617</v>
      </c>
      <c r="Z583" s="133">
        <f>Datasheet!Z240/Datasheet!Z336</f>
        <v>1.4699965905216501</v>
      </c>
      <c r="AA583" s="133" t="e">
        <f>Datasheet!AA240/Datasheet!AA336</f>
        <v>#DIV/0!</v>
      </c>
      <c r="AB583" s="133" t="e">
        <f>Datasheet!AB240/Datasheet!AB336</f>
        <v>#DIV/0!</v>
      </c>
      <c r="AC583" s="133" t="e">
        <f>Datasheet!AC240/Datasheet!AC336</f>
        <v>#DIV/0!</v>
      </c>
      <c r="AD583" s="133" t="e">
        <f>Datasheet!AD240/Datasheet!AD336</f>
        <v>#DIV/0!</v>
      </c>
      <c r="AE583" s="133" t="e">
        <f>Datasheet!AE240/Datasheet!AE336</f>
        <v>#DIV/0!</v>
      </c>
      <c r="AF583" s="133" t="e">
        <f>Datasheet!AF240/Datasheet!AF336</f>
        <v>#DIV/0!</v>
      </c>
      <c r="AG583" s="133" t="e">
        <f>Datasheet!AG240/Datasheet!AG336</f>
        <v>#DIV/0!</v>
      </c>
      <c r="AH583" s="133" t="e">
        <f>Datasheet!AH240/Datasheet!AH336</f>
        <v>#DIV/0!</v>
      </c>
      <c r="AI583" s="133" t="e">
        <f>Datasheet!AI240/Datasheet!AI336</f>
        <v>#DIV/0!</v>
      </c>
      <c r="AJ583" s="133" t="e">
        <f>Datasheet!AJ240/Datasheet!AJ336</f>
        <v>#DIV/0!</v>
      </c>
      <c r="AK583" s="133" t="e">
        <f>Datasheet!AK240/Datasheet!AK336</f>
        <v>#DIV/0!</v>
      </c>
    </row>
    <row r="584" spans="2:37" s="9" customFormat="1" x14ac:dyDescent="0.25">
      <c r="B584" s="66"/>
      <c r="D584" s="51" t="s">
        <v>621</v>
      </c>
      <c r="H584" s="9" t="s">
        <v>1516</v>
      </c>
      <c r="I584" s="97">
        <f>Datasheet!I286/Datasheet!I336*1000</f>
        <v>65816.796729840207</v>
      </c>
      <c r="J584" s="97">
        <f>Datasheet!J286/Datasheet!J336*1000</f>
        <v>67012.850099653835</v>
      </c>
      <c r="K584" s="97">
        <f>Datasheet!K286/Datasheet!K336*1000</f>
        <v>68726.768377253815</v>
      </c>
      <c r="L584" s="97">
        <f>Datasheet!L286/Datasheet!L336*1000</f>
        <v>73000.101874490618</v>
      </c>
      <c r="M584" s="97">
        <f>Datasheet!M286/Datasheet!M336*1000</f>
        <v>77207.454781652836</v>
      </c>
      <c r="N584" s="97">
        <f>Datasheet!N286/Datasheet!N336*1000</f>
        <v>80208.479874951154</v>
      </c>
      <c r="O584" s="97">
        <f>Datasheet!O286/Datasheet!O336*1000</f>
        <v>80843.386697160284</v>
      </c>
      <c r="P584" s="97">
        <f>Datasheet!P286/Datasheet!P336*1000</f>
        <v>78871.561793519213</v>
      </c>
      <c r="Q584" s="97">
        <f>Datasheet!Q286/Datasheet!Q336*1000</f>
        <v>78970.463936889559</v>
      </c>
      <c r="R584" s="97">
        <f>Datasheet!R286/Datasheet!R336*1000</f>
        <v>77747.408237601572</v>
      </c>
      <c r="S584" s="97">
        <f>Datasheet!S286/Datasheet!S336*1000</f>
        <v>83279.874213836476</v>
      </c>
      <c r="T584" s="97">
        <f>Datasheet!T286/Datasheet!T336*1000</f>
        <v>83890.566883262378</v>
      </c>
      <c r="U584" s="97">
        <f>Datasheet!U286/Datasheet!U336*1000</f>
        <v>89849.251306371589</v>
      </c>
      <c r="V584" s="97">
        <f>Datasheet!V286/Datasheet!V336*1000</f>
        <v>93722.523538855385</v>
      </c>
      <c r="W584" s="97">
        <f>Datasheet!W286/Datasheet!W336*1000</f>
        <v>97088.878367909099</v>
      </c>
      <c r="X584" s="97">
        <f>Datasheet!X286/Datasheet!X336*1000</f>
        <v>101676.78754704072</v>
      </c>
      <c r="Y584" s="97">
        <f>Datasheet!Y286/Datasheet!Y336*1000</f>
        <v>108317.67587777731</v>
      </c>
      <c r="Z584" s="97">
        <f>Datasheet!Z286/Datasheet!Z336*1000</f>
        <v>113115.15513126491</v>
      </c>
      <c r="AA584" s="97" t="e">
        <f>Datasheet!AA286/Datasheet!AA336*1000</f>
        <v>#DIV/0!</v>
      </c>
      <c r="AB584" s="97" t="e">
        <f>Datasheet!AB286/Datasheet!AB336*1000</f>
        <v>#DIV/0!</v>
      </c>
      <c r="AC584" s="97" t="e">
        <f>Datasheet!AC286/Datasheet!AC336*1000</f>
        <v>#DIV/0!</v>
      </c>
      <c r="AD584" s="97" t="e">
        <f>Datasheet!AD286/Datasheet!AD336*1000</f>
        <v>#DIV/0!</v>
      </c>
      <c r="AE584" s="97" t="e">
        <f>Datasheet!AE286/Datasheet!AE336*1000</f>
        <v>#DIV/0!</v>
      </c>
      <c r="AF584" s="97" t="e">
        <f>Datasheet!AF286/Datasheet!AF336*1000</f>
        <v>#DIV/0!</v>
      </c>
      <c r="AG584" s="97" t="e">
        <f>Datasheet!AG286/Datasheet!AG336*1000</f>
        <v>#DIV/0!</v>
      </c>
      <c r="AH584" s="97" t="e">
        <f>Datasheet!AH286/Datasheet!AH336*1000</f>
        <v>#DIV/0!</v>
      </c>
      <c r="AI584" s="97" t="e">
        <f>Datasheet!AI286/Datasheet!AI336*1000</f>
        <v>#DIV/0!</v>
      </c>
      <c r="AJ584" s="97" t="e">
        <f>Datasheet!AJ286/Datasheet!AJ336*1000</f>
        <v>#DIV/0!</v>
      </c>
      <c r="AK584" s="97" t="e">
        <f>Datasheet!AK286/Datasheet!AK336*1000</f>
        <v>#DIV/0!</v>
      </c>
    </row>
    <row r="585" spans="2:37" s="9" customFormat="1" x14ac:dyDescent="0.25">
      <c r="B585" s="66"/>
      <c r="D585" s="51" t="s">
        <v>385</v>
      </c>
      <c r="H585" s="9" t="s">
        <v>1516</v>
      </c>
      <c r="I585" s="97">
        <f>Datasheet!I337</f>
        <v>79642</v>
      </c>
      <c r="J585" s="97">
        <f>Datasheet!J337</f>
        <v>86780</v>
      </c>
      <c r="K585" s="97">
        <f>Datasheet!K337</f>
        <v>102068</v>
      </c>
      <c r="L585" s="97">
        <f>Datasheet!L337</f>
        <v>119408</v>
      </c>
      <c r="M585" s="97">
        <f>Datasheet!M337</f>
        <v>151456</v>
      </c>
      <c r="N585" s="97">
        <f>Datasheet!N337</f>
        <v>161378</v>
      </c>
      <c r="O585" s="97">
        <f>Datasheet!O337</f>
        <v>156093</v>
      </c>
      <c r="P585" s="97">
        <f>Datasheet!P337</f>
        <v>127972</v>
      </c>
      <c r="Q585" s="97">
        <f>Datasheet!Q337</f>
        <v>142003</v>
      </c>
      <c r="R585" s="97">
        <f>Datasheet!R337</f>
        <v>150988</v>
      </c>
      <c r="S585" s="97">
        <f>Datasheet!S337</f>
        <v>193067</v>
      </c>
      <c r="T585" s="97">
        <f>Datasheet!T337</f>
        <v>175998</v>
      </c>
      <c r="U585" s="97">
        <f>Datasheet!U337</f>
        <v>200184</v>
      </c>
      <c r="V585" s="97">
        <f>Datasheet!V337</f>
        <v>196854</v>
      </c>
      <c r="W585" s="97">
        <f>Datasheet!W337</f>
        <v>205843</v>
      </c>
      <c r="X585" s="97">
        <f>Datasheet!X337</f>
        <v>227436</v>
      </c>
      <c r="Y585" s="97">
        <f>Datasheet!Y337</f>
        <v>230141</v>
      </c>
      <c r="Z585" s="97">
        <f>Datasheet!Z337</f>
        <v>229825</v>
      </c>
      <c r="AA585" s="97">
        <f>Datasheet!AA337</f>
        <v>0</v>
      </c>
      <c r="AB585" s="97">
        <f>Datasheet!AB337</f>
        <v>0</v>
      </c>
      <c r="AC585" s="97">
        <f>Datasheet!AC337</f>
        <v>0</v>
      </c>
      <c r="AD585" s="97">
        <f>Datasheet!AD337</f>
        <v>0</v>
      </c>
      <c r="AE585" s="97">
        <f>Datasheet!AE337</f>
        <v>0</v>
      </c>
      <c r="AF585" s="97">
        <f>Datasheet!AF337</f>
        <v>0</v>
      </c>
      <c r="AG585" s="97">
        <f>Datasheet!AG337</f>
        <v>0</v>
      </c>
      <c r="AH585" s="97">
        <f>Datasheet!AH337</f>
        <v>0</v>
      </c>
      <c r="AI585" s="97">
        <f>Datasheet!AI337</f>
        <v>0</v>
      </c>
      <c r="AJ585" s="97">
        <f>Datasheet!AJ337</f>
        <v>0</v>
      </c>
      <c r="AK585" s="97">
        <f>Datasheet!AK337</f>
        <v>0</v>
      </c>
    </row>
    <row r="586" spans="2:37" s="9" customFormat="1" x14ac:dyDescent="0.25">
      <c r="B586" s="66"/>
      <c r="D586" s="51" t="s">
        <v>622</v>
      </c>
      <c r="I586" s="97"/>
      <c r="J586" s="97"/>
      <c r="K586" s="97"/>
      <c r="L586" s="97"/>
      <c r="M586" s="97"/>
      <c r="N586" s="97"/>
      <c r="O586" s="97"/>
      <c r="P586" s="97"/>
      <c r="Q586" s="97"/>
      <c r="R586" s="97"/>
      <c r="S586" s="97"/>
      <c r="T586" s="97"/>
      <c r="U586" s="97"/>
      <c r="V586" s="97"/>
      <c r="W586" s="97"/>
      <c r="X586" s="97"/>
      <c r="Y586" s="97"/>
      <c r="Z586" s="97"/>
      <c r="AA586" s="97"/>
      <c r="AB586" s="97"/>
      <c r="AC586" s="97"/>
      <c r="AD586" s="97"/>
      <c r="AE586" s="97"/>
      <c r="AF586" s="97"/>
      <c r="AG586" s="97"/>
      <c r="AH586" s="97"/>
      <c r="AI586" s="97"/>
      <c r="AJ586" s="97"/>
      <c r="AK586" s="97"/>
    </row>
    <row r="587" spans="2:37" s="9" customFormat="1" x14ac:dyDescent="0.25">
      <c r="B587" s="66"/>
      <c r="D587" s="242"/>
      <c r="E587" s="9" t="s">
        <v>1351</v>
      </c>
      <c r="H587" s="9" t="s">
        <v>1511</v>
      </c>
      <c r="I587" s="97">
        <f>IF(Datasheet!I743&gt;0,Datasheet!I743,Datasheet!I765)</f>
        <v>65400</v>
      </c>
      <c r="J587" s="97">
        <f>IF(Datasheet!J743&gt;0,Datasheet!J743,Datasheet!J765)</f>
        <v>69900</v>
      </c>
      <c r="K587" s="97">
        <f>IF(Datasheet!K743&gt;0,Datasheet!K743,Datasheet!K765)</f>
        <v>75300</v>
      </c>
      <c r="L587" s="97">
        <f>IF(Datasheet!L743&gt;0,Datasheet!L743,Datasheet!L765)</f>
        <v>74500</v>
      </c>
      <c r="M587" s="97">
        <f>IF(Datasheet!M743&gt;0,Datasheet!M743,Datasheet!M765)</f>
        <v>74500</v>
      </c>
      <c r="N587" s="97">
        <f>IF(Datasheet!N743&gt;0,Datasheet!N743,Datasheet!N765)</f>
        <v>74500</v>
      </c>
      <c r="O587" s="97">
        <f>IF(Datasheet!O743&gt;0,Datasheet!O743,Datasheet!O765)</f>
        <v>83300</v>
      </c>
      <c r="P587" s="97">
        <f>IF(Datasheet!P743&gt;0,Datasheet!P743,Datasheet!P765)</f>
        <v>89500</v>
      </c>
      <c r="Q587" s="97">
        <f>IF(Datasheet!Q743&gt;0,Datasheet!Q743,Datasheet!Q765)</f>
        <v>90596</v>
      </c>
      <c r="R587" s="97">
        <f>IF(Datasheet!R743&gt;0,Datasheet!R743,Datasheet!R765)</f>
        <v>93029</v>
      </c>
      <c r="S587" s="97">
        <f>IF(Datasheet!S743&gt;0,Datasheet!S743,Datasheet!S765)</f>
        <v>86184</v>
      </c>
      <c r="T587" s="97">
        <f>IF(Datasheet!T743&gt;0,Datasheet!T743,Datasheet!T765)</f>
        <v>83558</v>
      </c>
      <c r="U587" s="97">
        <f>IF(Datasheet!U743&gt;0,Datasheet!U743,Datasheet!U765)</f>
        <v>88652</v>
      </c>
      <c r="V587" s="97">
        <f>IF(Datasheet!V743&gt;0,Datasheet!V743,Datasheet!V765)</f>
        <v>93443</v>
      </c>
      <c r="W587" s="97">
        <f>IF(Datasheet!W743&gt;0,Datasheet!W743,Datasheet!W765)</f>
        <v>96113</v>
      </c>
      <c r="X587" s="97">
        <f>IF(Datasheet!X743&gt;0,Datasheet!X743,Datasheet!X765)</f>
        <v>104210</v>
      </c>
      <c r="Y587" s="97">
        <f>IF(Datasheet!Y743&gt;0,Datasheet!Y743,Datasheet!Y765)</f>
        <v>110592</v>
      </c>
      <c r="Z587" s="97">
        <f>IF(Datasheet!Z743&gt;0,Datasheet!Z743,Datasheet!Z765)</f>
        <v>110667</v>
      </c>
      <c r="AA587" s="97">
        <f>IF(Datasheet!AA743&gt;0,Datasheet!AA743,Datasheet!AA765)</f>
        <v>110700</v>
      </c>
      <c r="AB587" s="97">
        <f>IF(Datasheet!AB743&gt;0,Datasheet!AB743,Datasheet!AB765)</f>
        <v>115600</v>
      </c>
      <c r="AC587" s="97">
        <f>IF(Datasheet!AC743&gt;0,Datasheet!AC743,Datasheet!AC765)</f>
        <v>0</v>
      </c>
      <c r="AD587" s="97">
        <f>IF(Datasheet!AD743&gt;0,Datasheet!AD743,Datasheet!AD765)</f>
        <v>0</v>
      </c>
      <c r="AE587" s="97">
        <f>IF(Datasheet!AE743&gt;0,Datasheet!AE743,Datasheet!AE765)</f>
        <v>0</v>
      </c>
      <c r="AF587" s="97">
        <f>IF(Datasheet!AF743&gt;0,Datasheet!AF743,Datasheet!AF765)</f>
        <v>0</v>
      </c>
      <c r="AG587" s="97">
        <f>IF(Datasheet!AG743&gt;0,Datasheet!AG743,Datasheet!AG765)</f>
        <v>0</v>
      </c>
      <c r="AH587" s="97">
        <f>IF(Datasheet!AH743&gt;0,Datasheet!AH743,Datasheet!AH765)</f>
        <v>0</v>
      </c>
      <c r="AI587" s="97">
        <f>IF(Datasheet!AI743&gt;0,Datasheet!AI743,Datasheet!AI765)</f>
        <v>0</v>
      </c>
      <c r="AJ587" s="97">
        <f>IF(Datasheet!AJ743&gt;0,Datasheet!AJ743,Datasheet!AJ765)</f>
        <v>0</v>
      </c>
      <c r="AK587" s="97">
        <f>IF(Datasheet!AK743&gt;0,Datasheet!AK743,Datasheet!AK765)</f>
        <v>0</v>
      </c>
    </row>
    <row r="588" spans="2:37" s="9" customFormat="1" x14ac:dyDescent="0.25">
      <c r="B588" s="66"/>
      <c r="D588" s="51"/>
      <c r="E588" s="9" t="s">
        <v>1361</v>
      </c>
      <c r="J588" s="133">
        <f>Datasheet!J796/J587</f>
        <v>6.437768240343348</v>
      </c>
      <c r="K588" s="133">
        <f>Datasheet!K796/K587</f>
        <v>6.0590969455511292</v>
      </c>
      <c r="L588" s="133">
        <f>Datasheet!L796/L587</f>
        <v>8.053691275167786</v>
      </c>
      <c r="M588" s="133">
        <f>Datasheet!M796/M587</f>
        <v>9.1946308724832218</v>
      </c>
      <c r="N588" s="133">
        <f>Datasheet!N796/N587</f>
        <v>10.738255033557047</v>
      </c>
      <c r="O588" s="133">
        <f>Datasheet!O796/O587</f>
        <v>11.437575030012004</v>
      </c>
      <c r="P588" s="133">
        <f>Datasheet!P796/P587</f>
        <v>9.0363128491620106</v>
      </c>
      <c r="Q588" s="133">
        <f>Datasheet!Q796/Q587</f>
        <v>8.7752218640999597</v>
      </c>
      <c r="R588" s="133">
        <f>Datasheet!R796/R587</f>
        <v>6.9870685485171293</v>
      </c>
      <c r="S588" s="133">
        <f>Datasheet!S796/S587</f>
        <v>6.9792536897800055</v>
      </c>
      <c r="T588" s="133">
        <f>Datasheet!T796/T587</f>
        <v>7.4639531822207328</v>
      </c>
      <c r="U588" s="133">
        <f>Datasheet!U796/U587</f>
        <v>8.2908451021973555</v>
      </c>
      <c r="V588" s="133">
        <f>Datasheet!V796/V587</f>
        <v>9.4175058591868837</v>
      </c>
      <c r="W588" s="133">
        <f>Datasheet!W796/W587</f>
        <v>8.1674695410610436</v>
      </c>
      <c r="X588" s="133">
        <f>Datasheet!X796/X587</f>
        <v>7.8687266097303521</v>
      </c>
      <c r="Y588" s="133">
        <f>Datasheet!Y796/Y587</f>
        <v>8.8161892361111107</v>
      </c>
      <c r="Z588" s="133">
        <f>Datasheet!Z796/Z587</f>
        <v>9.2620202951195925</v>
      </c>
      <c r="AA588" s="133">
        <f>Datasheet!AA796/AA587</f>
        <v>13.098464317976513</v>
      </c>
      <c r="AB588" s="133">
        <f>Datasheet!AB796/AB587</f>
        <v>0</v>
      </c>
      <c r="AC588" s="133" t="e">
        <f>Datasheet!AC796/AC587</f>
        <v>#DIV/0!</v>
      </c>
      <c r="AD588" s="133" t="e">
        <f>Datasheet!AD796/AD587</f>
        <v>#DIV/0!</v>
      </c>
      <c r="AE588" s="133" t="e">
        <f>Datasheet!AE796/AE587</f>
        <v>#DIV/0!</v>
      </c>
      <c r="AF588" s="133" t="e">
        <f>Datasheet!AF796/AF587</f>
        <v>#DIV/0!</v>
      </c>
      <c r="AG588" s="133" t="e">
        <f>Datasheet!AG796/AG587</f>
        <v>#DIV/0!</v>
      </c>
      <c r="AH588" s="133" t="e">
        <f>Datasheet!AH796/AH587</f>
        <v>#DIV/0!</v>
      </c>
      <c r="AI588" s="133" t="e">
        <f>Datasheet!AI796/AI587</f>
        <v>#DIV/0!</v>
      </c>
      <c r="AJ588" s="133" t="e">
        <f>Datasheet!AJ796/AJ587</f>
        <v>#DIV/0!</v>
      </c>
      <c r="AK588" s="133" t="e">
        <f>Datasheet!AK796/AK587</f>
        <v>#DIV/0!</v>
      </c>
    </row>
    <row r="589" spans="2:37" s="9" customFormat="1" x14ac:dyDescent="0.25">
      <c r="B589" s="66"/>
      <c r="D589" s="51"/>
      <c r="E589" s="9" t="s">
        <v>1362</v>
      </c>
      <c r="I589" s="133">
        <f>Datasheet!I777*12/I587</f>
        <v>0.17009174311926606</v>
      </c>
      <c r="J589" s="133">
        <f>Datasheet!J777*12/J587</f>
        <v>0.16429184549356224</v>
      </c>
      <c r="K589" s="133">
        <f>Datasheet!K777*12/K587</f>
        <v>0.15426294820717132</v>
      </c>
      <c r="L589" s="133">
        <f>Datasheet!L777*12/L587</f>
        <v>0.19425503355704699</v>
      </c>
      <c r="M589" s="133">
        <f>Datasheet!M777*12/M587</f>
        <v>0.20069798657718121</v>
      </c>
      <c r="N589" s="133">
        <f>Datasheet!N777*12/N587</f>
        <v>0.2076241610738255</v>
      </c>
      <c r="O589" s="133">
        <f>Datasheet!O777*12/O587</f>
        <v>0.20355342136854743</v>
      </c>
      <c r="P589" s="133">
        <f>Datasheet!P777*12/P587</f>
        <v>0.20406703910614526</v>
      </c>
      <c r="Q589" s="133">
        <f>Datasheet!Q777*12/Q587</f>
        <v>0.21722813369243676</v>
      </c>
      <c r="R589" s="133">
        <f>Datasheet!R777*12/R587</f>
        <v>0.20574229541325822</v>
      </c>
      <c r="S589" s="133">
        <f>Datasheet!S777*12/S587</f>
        <v>0.16026176552492341</v>
      </c>
      <c r="T589" s="133">
        <f>Datasheet!T777*12/T587</f>
        <v>0.23581225017353216</v>
      </c>
      <c r="U589" s="133">
        <f>Datasheet!U777*12/U587</f>
        <v>0.19803275729819969</v>
      </c>
      <c r="V589" s="133">
        <f>Datasheet!V777*12/V587</f>
        <v>0.21048125595282685</v>
      </c>
      <c r="W589" s="133">
        <f>Datasheet!W777*12/W587</f>
        <v>0.21000280919334532</v>
      </c>
      <c r="X589" s="133">
        <f>Datasheet!X777*12/X587</f>
        <v>0.17100086364072545</v>
      </c>
      <c r="Y589" s="133">
        <f>Datasheet!Y777*12/Y587</f>
        <v>0.17469618055555555</v>
      </c>
      <c r="Z589" s="133">
        <f>Datasheet!Z777*12/Z587</f>
        <v>0.18422836075794952</v>
      </c>
      <c r="AA589" s="133">
        <f>Datasheet!AA777*12/AA587</f>
        <v>0.19414634146341464</v>
      </c>
      <c r="AB589" s="133">
        <f>Datasheet!AB777*12/AB587</f>
        <v>0.1968166089965398</v>
      </c>
      <c r="AC589" s="133" t="e">
        <f>Datasheet!AC777*12/AC587</f>
        <v>#DIV/0!</v>
      </c>
      <c r="AD589" s="133" t="e">
        <f>Datasheet!AD777*12/AD587</f>
        <v>#DIV/0!</v>
      </c>
      <c r="AE589" s="133" t="e">
        <f>Datasheet!AE777*12/AE587</f>
        <v>#DIV/0!</v>
      </c>
      <c r="AF589" s="133" t="e">
        <f>Datasheet!AF777*12/AF587</f>
        <v>#DIV/0!</v>
      </c>
      <c r="AG589" s="133" t="e">
        <f>Datasheet!AG777*12/AG587</f>
        <v>#DIV/0!</v>
      </c>
      <c r="AH589" s="133" t="e">
        <f>Datasheet!AH777*12/AH587</f>
        <v>#DIV/0!</v>
      </c>
      <c r="AI589" s="133" t="e">
        <f>Datasheet!AI777*12/AI587</f>
        <v>#DIV/0!</v>
      </c>
      <c r="AJ589" s="133" t="e">
        <f>Datasheet!AJ777*12/AJ587</f>
        <v>#DIV/0!</v>
      </c>
      <c r="AK589" s="133" t="e">
        <f>Datasheet!AK777*12/AK587</f>
        <v>#DIV/0!</v>
      </c>
    </row>
    <row r="590" spans="2:37" s="9" customFormat="1" x14ac:dyDescent="0.25">
      <c r="B590" s="66"/>
      <c r="D590" s="51"/>
      <c r="E590" s="9" t="s">
        <v>1348</v>
      </c>
      <c r="I590" s="97"/>
      <c r="J590" s="97"/>
      <c r="K590" s="97"/>
      <c r="L590" s="97"/>
      <c r="M590" s="97"/>
      <c r="N590" s="97"/>
      <c r="O590" s="97"/>
      <c r="P590" s="97"/>
      <c r="Q590" s="97"/>
      <c r="R590" s="97"/>
      <c r="S590" s="97"/>
      <c r="T590" s="97"/>
      <c r="U590" s="97"/>
      <c r="V590" s="97"/>
      <c r="W590" s="97"/>
      <c r="X590" s="97"/>
      <c r="Y590" s="97"/>
      <c r="Z590" s="97"/>
      <c r="AA590" s="97"/>
      <c r="AB590" s="97"/>
      <c r="AC590" s="97"/>
      <c r="AD590" s="97"/>
      <c r="AE590" s="97"/>
      <c r="AF590" s="97"/>
      <c r="AG590" s="97"/>
      <c r="AH590" s="97"/>
      <c r="AI590" s="97"/>
      <c r="AJ590" s="97"/>
      <c r="AK590" s="97"/>
    </row>
    <row r="591" spans="2:37" s="9" customFormat="1" x14ac:dyDescent="0.25">
      <c r="B591" s="66"/>
      <c r="D591" s="51"/>
      <c r="E591" s="9" t="s">
        <v>1349</v>
      </c>
      <c r="I591" s="97"/>
      <c r="J591" s="97"/>
      <c r="K591" s="97"/>
      <c r="L591" s="97"/>
      <c r="M591" s="97"/>
      <c r="N591" s="97"/>
      <c r="O591" s="97"/>
      <c r="P591" s="97"/>
      <c r="Q591" s="97"/>
      <c r="R591" s="97"/>
      <c r="S591" s="97"/>
      <c r="T591" s="97"/>
      <c r="U591" s="97"/>
      <c r="V591" s="97"/>
      <c r="W591" s="97"/>
      <c r="X591" s="97"/>
      <c r="Y591" s="97"/>
      <c r="Z591" s="97"/>
      <c r="AA591" s="97"/>
      <c r="AB591" s="97"/>
      <c r="AC591" s="97"/>
      <c r="AD591" s="97"/>
      <c r="AE591" s="97"/>
      <c r="AF591" s="97"/>
      <c r="AG591" s="97"/>
      <c r="AH591" s="97"/>
      <c r="AI591" s="97"/>
      <c r="AJ591" s="97"/>
      <c r="AK591" s="97"/>
    </row>
    <row r="592" spans="2:37" s="9" customFormat="1" x14ac:dyDescent="0.25">
      <c r="B592" s="66"/>
      <c r="D592" s="51"/>
      <c r="E592" s="9" t="s">
        <v>1350</v>
      </c>
      <c r="I592" s="97"/>
      <c r="J592" s="97"/>
      <c r="K592" s="97"/>
      <c r="L592" s="97"/>
      <c r="M592" s="97"/>
      <c r="N592" s="97"/>
      <c r="O592" s="97"/>
      <c r="P592" s="97"/>
      <c r="Q592" s="97"/>
      <c r="R592" s="97"/>
      <c r="S592" s="97"/>
      <c r="T592" s="97"/>
      <c r="U592" s="97"/>
      <c r="V592" s="97"/>
      <c r="W592" s="97"/>
      <c r="X592" s="97"/>
      <c r="Y592" s="97"/>
      <c r="Z592" s="97"/>
      <c r="AA592" s="97"/>
      <c r="AB592" s="97"/>
      <c r="AC592" s="97"/>
      <c r="AD592" s="97"/>
      <c r="AE592" s="97"/>
      <c r="AF592" s="97"/>
      <c r="AG592" s="97"/>
      <c r="AH592" s="97"/>
      <c r="AI592" s="97"/>
      <c r="AJ592" s="97"/>
      <c r="AK592" s="97"/>
    </row>
    <row r="593" spans="2:37" s="9" customFormat="1" x14ac:dyDescent="0.25">
      <c r="B593" s="66"/>
      <c r="D593" s="51" t="s">
        <v>432</v>
      </c>
      <c r="H593" s="9" t="s">
        <v>1506</v>
      </c>
      <c r="I593" s="97">
        <f t="shared" ref="I593:S593" si="60">I594*$T595/$T594</f>
        <v>470997087.56500167</v>
      </c>
      <c r="J593" s="97">
        <f t="shared" si="60"/>
        <v>456116248.31244177</v>
      </c>
      <c r="K593" s="97">
        <f t="shared" si="60"/>
        <v>444701141.13055915</v>
      </c>
      <c r="L593" s="97">
        <f t="shared" si="60"/>
        <v>447133138.36847067</v>
      </c>
      <c r="M593" s="97">
        <f t="shared" si="60"/>
        <v>463404498.49029827</v>
      </c>
      <c r="N593" s="97">
        <f t="shared" si="60"/>
        <v>462749138.50410867</v>
      </c>
      <c r="O593" s="97">
        <f t="shared" si="60"/>
        <v>463056829.54671347</v>
      </c>
      <c r="P593" s="97">
        <f t="shared" si="60"/>
        <v>510250130.4606241</v>
      </c>
      <c r="Q593" s="97">
        <f t="shared" si="60"/>
        <v>507057603.10225934</v>
      </c>
      <c r="R593" s="97">
        <f t="shared" si="60"/>
        <v>487658823.58699071</v>
      </c>
      <c r="S593" s="97">
        <f t="shared" si="60"/>
        <v>483272928.86891675</v>
      </c>
      <c r="T593" s="97">
        <f t="shared" ref="T593:AK593" si="61">T594*$T595/$T594</f>
        <v>479707861.99999994</v>
      </c>
      <c r="U593" s="97">
        <f t="shared" si="61"/>
        <v>493144120.00025451</v>
      </c>
      <c r="V593" s="97">
        <f t="shared" si="61"/>
        <v>518307661.78018504</v>
      </c>
      <c r="W593" s="97">
        <f t="shared" si="61"/>
        <v>523852271.96513569</v>
      </c>
      <c r="X593" s="97">
        <f t="shared" si="61"/>
        <v>592649456.08378172</v>
      </c>
      <c r="Y593" s="97">
        <f t="shared" si="61"/>
        <v>620790378.93074787</v>
      </c>
      <c r="Z593" s="97">
        <f t="shared" si="61"/>
        <v>610742864.18899679</v>
      </c>
      <c r="AA593" s="97">
        <f t="shared" si="61"/>
        <v>640089711.22641003</v>
      </c>
      <c r="AB593" s="97">
        <f t="shared" si="61"/>
        <v>353391049.5281142</v>
      </c>
      <c r="AC593" s="97">
        <f t="shared" si="61"/>
        <v>353391049.5281142</v>
      </c>
      <c r="AD593" s="97">
        <f t="shared" si="61"/>
        <v>353391049.5281142</v>
      </c>
      <c r="AE593" s="97">
        <f t="shared" si="61"/>
        <v>353391049.5281142</v>
      </c>
      <c r="AF593" s="97">
        <f t="shared" si="61"/>
        <v>353391049.5281142</v>
      </c>
      <c r="AG593" s="97">
        <f t="shared" si="61"/>
        <v>353391049.5281142</v>
      </c>
      <c r="AH593" s="97">
        <f t="shared" si="61"/>
        <v>353391049.5281142</v>
      </c>
      <c r="AI593" s="97">
        <f t="shared" si="61"/>
        <v>353391049.5281142</v>
      </c>
      <c r="AJ593" s="97">
        <f t="shared" si="61"/>
        <v>353391049.5281142</v>
      </c>
      <c r="AK593" s="97">
        <f t="shared" si="61"/>
        <v>353391049.5281142</v>
      </c>
    </row>
    <row r="594" spans="2:37" s="9" customFormat="1" x14ac:dyDescent="0.25">
      <c r="B594" s="66"/>
      <c r="D594" s="242"/>
      <c r="E594" s="9" t="s">
        <v>665</v>
      </c>
      <c r="H594" s="9" t="s">
        <v>1506</v>
      </c>
      <c r="I594" s="97">
        <f>IF(Datasheet!I1010&gt;0,Datasheet!I1010,I153)</f>
        <v>633448.55000000005</v>
      </c>
      <c r="J594" s="97">
        <f>IF(Datasheet!J1010&gt;0,Datasheet!J1010,J153)</f>
        <v>613435.16499999992</v>
      </c>
      <c r="K594" s="97">
        <f>IF(Datasheet!K1010&gt;0,Datasheet!K1010,K153)</f>
        <v>598082.87666666659</v>
      </c>
      <c r="L594" s="97">
        <f>IF(Datasheet!L1010&gt;0,Datasheet!L1010,L153)</f>
        <v>601353.69333333324</v>
      </c>
      <c r="M594" s="97">
        <f>IF(Datasheet!M1010&gt;0,Datasheet!M1010,M153)</f>
        <v>623237.20333333313</v>
      </c>
      <c r="N594" s="97">
        <f>IF(Datasheet!N1010&gt;0,Datasheet!N1010,N153)</f>
        <v>622355.80333333311</v>
      </c>
      <c r="O594" s="97">
        <f>IF(Datasheet!O1010&gt;0,Datasheet!O1010,O153)</f>
        <v>622769.62</v>
      </c>
      <c r="P594" s="97">
        <f>IF(Datasheet!P1010&gt;0,Datasheet!P1010,P153)</f>
        <v>686240.34799999988</v>
      </c>
      <c r="Q594" s="97">
        <f>IF(Datasheet!Q1010&gt;0,Datasheet!Q1010,Q153)</f>
        <v>681946.68699999992</v>
      </c>
      <c r="R594" s="97">
        <f>IF(Datasheet!R1010&gt;0,Datasheet!R1010,R153)</f>
        <v>655857.08033333276</v>
      </c>
      <c r="S594" s="97">
        <f>IF(Datasheet!S1010&gt;0,Datasheet!S1010,S153)</f>
        <v>649958.44799999974</v>
      </c>
      <c r="T594" s="97">
        <f>IF(Datasheet!T1010&gt;0,Datasheet!T1010,T153)</f>
        <v>645163.75499999966</v>
      </c>
      <c r="U594" s="97">
        <f>IF(Datasheet!U1010&gt;0,Datasheet!U1010,U153)</f>
        <v>663234.30866666639</v>
      </c>
      <c r="V594" s="97">
        <f>IF(Datasheet!V1010&gt;0,Datasheet!V1010,V153)</f>
        <v>697077</v>
      </c>
      <c r="W594" s="97">
        <f>IF(Datasheet!W1010&gt;0,Datasheet!W1010,W153)</f>
        <v>704534</v>
      </c>
      <c r="X594" s="97">
        <f>IF(Datasheet!X1010&gt;0,Datasheet!X1010,X153)</f>
        <v>797060</v>
      </c>
      <c r="Y594" s="97">
        <f>IF(Datasheet!Y1010&gt;0,Datasheet!Y1010,Y153)</f>
        <v>834907</v>
      </c>
      <c r="Z594" s="97">
        <f>IF(Datasheet!Z1010&gt;0,Datasheet!Z1010,Z153)</f>
        <v>821394</v>
      </c>
      <c r="AA594" s="97">
        <f>IF(Datasheet!AA1010&gt;0,Datasheet!AA1010,AA153)</f>
        <v>860862.85913674708</v>
      </c>
      <c r="AB594" s="97">
        <f>IF(Datasheet!AB1010&gt;0,Datasheet!AB1010,AB153)</f>
        <v>475279.04909957258</v>
      </c>
      <c r="AC594" s="97">
        <f>IF(Datasheet!AC1010&gt;0,Datasheet!AC1010,AC153)</f>
        <v>475279.04909957258</v>
      </c>
      <c r="AD594" s="97">
        <f>IF(Datasheet!AD1010&gt;0,Datasheet!AD1010,AD153)</f>
        <v>475279.04909957258</v>
      </c>
      <c r="AE594" s="97">
        <f>IF(Datasheet!AE1010&gt;0,Datasheet!AE1010,AE153)</f>
        <v>475279.04909957258</v>
      </c>
      <c r="AF594" s="97">
        <f>IF(Datasheet!AF1010&gt;0,Datasheet!AF1010,AF153)</f>
        <v>475279.04909957258</v>
      </c>
      <c r="AG594" s="97">
        <f>IF(Datasheet!AG1010&gt;0,Datasheet!AG1010,AG153)</f>
        <v>475279.04909957258</v>
      </c>
      <c r="AH594" s="97">
        <f>IF(Datasheet!AH1010&gt;0,Datasheet!AH1010,AH153)</f>
        <v>475279.04909957258</v>
      </c>
      <c r="AI594" s="97">
        <f>IF(Datasheet!AI1010&gt;0,Datasheet!AI1010,AI153)</f>
        <v>475279.04909957258</v>
      </c>
      <c r="AJ594" s="97">
        <f>IF(Datasheet!AJ1010&gt;0,Datasheet!AJ1010,AJ153)</f>
        <v>475279.04909957258</v>
      </c>
      <c r="AK594" s="97">
        <f>IF(Datasheet!AK1010&gt;0,Datasheet!AK1010,AK153)</f>
        <v>475279.04909957258</v>
      </c>
    </row>
    <row r="595" spans="2:37" s="9" customFormat="1" x14ac:dyDescent="0.25">
      <c r="B595" s="66"/>
      <c r="D595" s="248"/>
      <c r="E595" s="9" t="s">
        <v>664</v>
      </c>
      <c r="H595" s="9" t="s">
        <v>1506</v>
      </c>
      <c r="I595" s="97"/>
      <c r="J595" s="97"/>
      <c r="K595" s="97"/>
      <c r="L595" s="97"/>
      <c r="M595" s="97"/>
      <c r="N595" s="97"/>
      <c r="O595" s="97"/>
      <c r="P595" s="97"/>
      <c r="Q595" s="97"/>
      <c r="R595" s="97"/>
      <c r="S595" s="97"/>
      <c r="T595" s="97">
        <v>479707862</v>
      </c>
      <c r="U595" s="97"/>
      <c r="V595" s="97"/>
      <c r="W595" s="97"/>
      <c r="X595" s="97"/>
      <c r="Y595" s="97"/>
      <c r="Z595" s="97"/>
      <c r="AA595" s="97"/>
      <c r="AB595" s="97"/>
      <c r="AC595" s="97"/>
      <c r="AD595" s="97"/>
      <c r="AE595" s="97"/>
      <c r="AF595" s="97"/>
      <c r="AG595" s="97"/>
      <c r="AH595" s="97"/>
      <c r="AI595" s="97"/>
      <c r="AJ595" s="97"/>
      <c r="AK595" s="97"/>
    </row>
    <row r="596" spans="2:37" x14ac:dyDescent="0.25">
      <c r="C596" s="51" t="s">
        <v>1518</v>
      </c>
      <c r="D596" s="9"/>
      <c r="E596" s="9"/>
      <c r="F596" s="9"/>
      <c r="G596" s="9"/>
      <c r="H596" s="9"/>
      <c r="I596" s="97"/>
      <c r="J596" s="109" t="s">
        <v>1393</v>
      </c>
      <c r="K596" s="109" t="s">
        <v>1394</v>
      </c>
      <c r="L596" s="109" t="s">
        <v>1395</v>
      </c>
      <c r="M596" s="109" t="s">
        <v>1396</v>
      </c>
      <c r="N596" s="109" t="s">
        <v>1397</v>
      </c>
      <c r="O596" s="97" t="s">
        <v>1365</v>
      </c>
      <c r="P596" s="109" t="s">
        <v>1390</v>
      </c>
      <c r="Q596" s="109" t="s">
        <v>1391</v>
      </c>
      <c r="R596" s="109" t="s">
        <v>1392</v>
      </c>
      <c r="S596" s="97" t="s">
        <v>1367</v>
      </c>
      <c r="T596" s="109" t="s">
        <v>1384</v>
      </c>
      <c r="U596" s="109" t="s">
        <v>1385</v>
      </c>
      <c r="V596" s="109" t="s">
        <v>1386</v>
      </c>
      <c r="W596" s="109" t="s">
        <v>1387</v>
      </c>
      <c r="X596" s="109" t="s">
        <v>1388</v>
      </c>
      <c r="Y596" s="109" t="s">
        <v>1389</v>
      </c>
      <c r="Z596" s="97" t="s">
        <v>1369</v>
      </c>
      <c r="AA596" t="s">
        <v>1383</v>
      </c>
    </row>
    <row r="597" spans="2:37" x14ac:dyDescent="0.25">
      <c r="C597" s="51"/>
      <c r="D597" s="51" t="s">
        <v>35</v>
      </c>
      <c r="E597" s="9"/>
      <c r="F597" s="9"/>
      <c r="G597" s="9"/>
      <c r="H597" s="223" t="s">
        <v>1517</v>
      </c>
      <c r="I597" s="175"/>
      <c r="J597" s="256">
        <f t="shared" ref="J597:O608" si="62">(J575/$I575-1)/(J$2-$I$2)</f>
        <v>2.2941970310391469E-2</v>
      </c>
      <c r="K597" s="256">
        <f t="shared" si="62"/>
        <v>3.1161820635504878E-2</v>
      </c>
      <c r="L597" s="256">
        <f t="shared" si="62"/>
        <v>2.7154132417290294E-2</v>
      </c>
      <c r="M597" s="256">
        <f t="shared" si="62"/>
        <v>2.8248067721751924E-2</v>
      </c>
      <c r="N597" s="256">
        <f t="shared" si="62"/>
        <v>2.6671574039995073E-2</v>
      </c>
      <c r="O597" s="177">
        <f t="shared" si="62"/>
        <v>2.5600130863288755E-2</v>
      </c>
      <c r="P597" s="256">
        <f t="shared" ref="P597:S608" si="63">(P575/$O575-1)/(P$2-$O$2)</f>
        <v>1.9249175794959106E-2</v>
      </c>
      <c r="Q597" s="256">
        <f t="shared" si="63"/>
        <v>1.8664256088482434E-2</v>
      </c>
      <c r="R597" s="256">
        <f t="shared" si="63"/>
        <v>1.4853415576588999E-2</v>
      </c>
      <c r="S597" s="177">
        <f t="shared" si="63"/>
        <v>1.2921408061257023E-2</v>
      </c>
      <c r="T597" s="256">
        <f t="shared" ref="T597:Y597" si="64">(T575/$S575-1)/(T$2-$S$2)</f>
        <v>6.370714935787225E-3</v>
      </c>
      <c r="U597" s="256">
        <f t="shared" si="64"/>
        <v>8.5448478106987524E-3</v>
      </c>
      <c r="V597" s="256">
        <f t="shared" si="64"/>
        <v>9.9774159840900403E-3</v>
      </c>
      <c r="W597" s="256">
        <f t="shared" si="64"/>
        <v>1.084538375973304E-2</v>
      </c>
      <c r="X597" s="256">
        <f t="shared" si="64"/>
        <v>1.1224592982101322E-2</v>
      </c>
      <c r="Y597" s="256">
        <f t="shared" si="64"/>
        <v>1.2370647520814368E-2</v>
      </c>
      <c r="Z597" s="177">
        <f t="shared" ref="Z597:Z604" si="65">(Z575/$S575-1)/(Z$2-$S$2)</f>
        <v>1.3752654464556566E-2</v>
      </c>
      <c r="AA597" s="177">
        <f t="shared" ref="AA597:AA605" si="66">(AA575/$Z575-1)/(AA$2-$Z$2)</f>
        <v>2.0477815699658786E-2</v>
      </c>
      <c r="AB597" s="177">
        <f t="shared" ref="AB597:AK597" si="67">(AB575/$Z575-1)/(AB$2-$Z$2)</f>
        <v>1.0238907849829393E-2</v>
      </c>
      <c r="AC597" s="177">
        <f t="shared" si="67"/>
        <v>6.8259385665529288E-3</v>
      </c>
      <c r="AD597" s="177">
        <f t="shared" si="67"/>
        <v>5.1194539249146964E-3</v>
      </c>
      <c r="AE597" s="177">
        <f t="shared" si="67"/>
        <v>4.0955631399317571E-3</v>
      </c>
      <c r="AF597" s="177">
        <f t="shared" si="67"/>
        <v>3.4129692832764644E-3</v>
      </c>
      <c r="AG597" s="177">
        <f t="shared" si="67"/>
        <v>2.9254022428083981E-3</v>
      </c>
      <c r="AH597" s="177">
        <f t="shared" si="67"/>
        <v>2.5597269624573482E-3</v>
      </c>
      <c r="AI597" s="177">
        <f t="shared" si="67"/>
        <v>2.2753128555176427E-3</v>
      </c>
      <c r="AJ597" s="177">
        <f t="shared" si="67"/>
        <v>2.0477815699658786E-3</v>
      </c>
      <c r="AK597" s="177">
        <f t="shared" si="67"/>
        <v>1.8616196090598897E-3</v>
      </c>
    </row>
    <row r="598" spans="2:37" x14ac:dyDescent="0.25">
      <c r="C598" s="51"/>
      <c r="D598" s="51" t="s">
        <v>38</v>
      </c>
      <c r="E598" s="9"/>
      <c r="F598" s="9"/>
      <c r="G598" s="9"/>
      <c r="H598" s="223" t="s">
        <v>1517</v>
      </c>
      <c r="I598" s="175"/>
      <c r="J598" s="256">
        <f t="shared" si="62"/>
        <v>7.1770334928229484E-3</v>
      </c>
      <c r="K598" s="256">
        <f t="shared" si="62"/>
        <v>8.0971659919027994E-3</v>
      </c>
      <c r="L598" s="256">
        <f t="shared" si="62"/>
        <v>1.0673536989326493E-2</v>
      </c>
      <c r="M598" s="256">
        <f t="shared" si="62"/>
        <v>1.205373573794627E-2</v>
      </c>
      <c r="N598" s="256">
        <f t="shared" si="62"/>
        <v>1.1630474788369538E-2</v>
      </c>
      <c r="O598" s="177">
        <f t="shared" si="62"/>
        <v>1.0489510489510486E-2</v>
      </c>
      <c r="P598" s="256">
        <f t="shared" si="63"/>
        <v>4.674515235457033E-3</v>
      </c>
      <c r="Q598" s="256">
        <f t="shared" si="63"/>
        <v>5.3670360110803506E-3</v>
      </c>
      <c r="R598" s="256">
        <f t="shared" si="63"/>
        <v>3.6357340720221862E-3</v>
      </c>
      <c r="S598" s="177">
        <f t="shared" si="63"/>
        <v>3.8521468144044335E-3</v>
      </c>
      <c r="T598" s="256">
        <f t="shared" ref="T598:Y598" si="68">(T576/$S576-1)/(T$2-$S$2)</f>
        <v>0</v>
      </c>
      <c r="U598" s="256">
        <f t="shared" si="68"/>
        <v>4.8593350383632217E-3</v>
      </c>
      <c r="V598" s="256">
        <f t="shared" si="68"/>
        <v>3.2395566922421479E-3</v>
      </c>
      <c r="W598" s="256">
        <f t="shared" si="68"/>
        <v>2.4296675191816108E-3</v>
      </c>
      <c r="X598" s="256">
        <f t="shared" si="68"/>
        <v>6.3768115942028913E-3</v>
      </c>
      <c r="Y598" s="256">
        <f t="shared" si="68"/>
        <v>8.3262290423415566E-3</v>
      </c>
      <c r="Z598" s="177">
        <f t="shared" si="65"/>
        <v>7.2098404579222942E-3</v>
      </c>
      <c r="AA598" s="177">
        <f t="shared" si="66"/>
        <v>6.1678298977438928E-3</v>
      </c>
      <c r="AB598" s="177">
        <f t="shared" ref="AB598:AK598" si="69">(AB576/$Z576-1)/(AB$2-$Z$2)</f>
        <v>3.0839149488719464E-3</v>
      </c>
      <c r="AC598" s="177">
        <f t="shared" si="69"/>
        <v>2.0559432992479643E-3</v>
      </c>
      <c r="AD598" s="177">
        <f t="shared" si="69"/>
        <v>1.5419574744359732E-3</v>
      </c>
      <c r="AE598" s="177">
        <f t="shared" si="69"/>
        <v>1.2335659795487785E-3</v>
      </c>
      <c r="AF598" s="177">
        <f t="shared" si="69"/>
        <v>1.0279716496239821E-3</v>
      </c>
      <c r="AG598" s="177">
        <f t="shared" si="69"/>
        <v>8.811185568205561E-4</v>
      </c>
      <c r="AH598" s="177">
        <f t="shared" si="69"/>
        <v>7.709787372179866E-4</v>
      </c>
      <c r="AI598" s="177">
        <f t="shared" si="69"/>
        <v>6.8531443308265472E-4</v>
      </c>
      <c r="AJ598" s="177">
        <f t="shared" si="69"/>
        <v>6.1678298977438926E-4</v>
      </c>
      <c r="AK598" s="177">
        <f t="shared" si="69"/>
        <v>5.6071180888580846E-4</v>
      </c>
    </row>
    <row r="599" spans="2:37" x14ac:dyDescent="0.25">
      <c r="D599" s="51" t="s">
        <v>616</v>
      </c>
      <c r="H599" s="223" t="s">
        <v>1517</v>
      </c>
      <c r="I599" s="175"/>
      <c r="J599" s="256">
        <f t="shared" si="62"/>
        <v>4.2579530597422588E-2</v>
      </c>
      <c r="K599" s="256">
        <f t="shared" si="62"/>
        <v>4.0416230095248973E-2</v>
      </c>
      <c r="L599" s="256">
        <f t="shared" si="62"/>
        <v>2.9569805389506598E-2</v>
      </c>
      <c r="M599" s="256">
        <f t="shared" si="62"/>
        <v>2.6629393338627017E-2</v>
      </c>
      <c r="N599" s="256">
        <f t="shared" si="62"/>
        <v>2.8341066530887506E-2</v>
      </c>
      <c r="O599" s="177">
        <f t="shared" si="62"/>
        <v>2.6528828386155889E-2</v>
      </c>
      <c r="P599" s="256">
        <f t="shared" si="63"/>
        <v>3.8367458220692985E-2</v>
      </c>
      <c r="Q599" s="256">
        <f t="shared" si="63"/>
        <v>2.3590460391578638E-2</v>
      </c>
      <c r="R599" s="256">
        <f t="shared" si="63"/>
        <v>1.6173339181526119E-2</v>
      </c>
      <c r="S599" s="177">
        <f t="shared" si="63"/>
        <v>1.3546381345402925E-2</v>
      </c>
      <c r="T599" s="256">
        <f t="shared" ref="T599:Y599" si="70">(T577/$S577-1)/(T$2-$S$2)</f>
        <v>8.6164434070588047E-3</v>
      </c>
      <c r="U599" s="256">
        <f t="shared" si="70"/>
        <v>1.4972532531738469E-2</v>
      </c>
      <c r="V599" s="256">
        <f t="shared" si="70"/>
        <v>1.1206152324343188E-2</v>
      </c>
      <c r="W599" s="256">
        <f t="shared" si="70"/>
        <v>1.0900120652063472E-2</v>
      </c>
      <c r="X599" s="256">
        <f t="shared" si="70"/>
        <v>1.0681896645581234E-2</v>
      </c>
      <c r="Y599" s="256">
        <f t="shared" si="70"/>
        <v>9.3502313678366002E-3</v>
      </c>
      <c r="Z599" s="177">
        <f t="shared" si="65"/>
        <v>9.5182549919812873E-3</v>
      </c>
      <c r="AA599" s="177">
        <f t="shared" si="66"/>
        <v>5.7661929428263203E-3</v>
      </c>
      <c r="AB599" s="177">
        <f t="shared" ref="AB599:AK599" si="71">(AB577/$Z577-1)/(AB$2-$Z$2)</f>
        <v>2.8830964714131602E-3</v>
      </c>
      <c r="AC599" s="177">
        <f t="shared" si="71"/>
        <v>1.9220643142754401E-3</v>
      </c>
      <c r="AD599" s="177">
        <f t="shared" si="71"/>
        <v>1.4415482357065801E-3</v>
      </c>
      <c r="AE599" s="177">
        <f t="shared" si="71"/>
        <v>1.153238588565264E-3</v>
      </c>
      <c r="AF599" s="177">
        <f t="shared" si="71"/>
        <v>9.6103215713772006E-4</v>
      </c>
      <c r="AG599" s="177">
        <f t="shared" si="71"/>
        <v>8.2374184897518867E-4</v>
      </c>
      <c r="AH599" s="177">
        <f t="shared" si="71"/>
        <v>7.2077411785329004E-4</v>
      </c>
      <c r="AI599" s="177">
        <f t="shared" si="71"/>
        <v>6.4068810475848004E-4</v>
      </c>
      <c r="AJ599" s="177">
        <f t="shared" si="71"/>
        <v>5.7661929428263201E-4</v>
      </c>
      <c r="AK599" s="177">
        <f t="shared" si="71"/>
        <v>5.2419935843875636E-4</v>
      </c>
    </row>
    <row r="600" spans="2:37" x14ac:dyDescent="0.25">
      <c r="D600" s="51" t="s">
        <v>617</v>
      </c>
      <c r="H600" s="223" t="s">
        <v>1517</v>
      </c>
      <c r="I600" s="175"/>
      <c r="J600" s="256">
        <f t="shared" si="62"/>
        <v>1.1037098836550685E-2</v>
      </c>
      <c r="K600" s="256">
        <f t="shared" si="62"/>
        <v>1.7644496826889289E-2</v>
      </c>
      <c r="L600" s="256">
        <f t="shared" si="62"/>
        <v>3.5353245528976895E-2</v>
      </c>
      <c r="M600" s="256">
        <f t="shared" si="62"/>
        <v>6.0803180320680605E-2</v>
      </c>
      <c r="N600" s="256">
        <f t="shared" si="62"/>
        <v>7.6664062258595636E-2</v>
      </c>
      <c r="O600" s="177">
        <f t="shared" si="62"/>
        <v>6.475215697468821E-2</v>
      </c>
      <c r="P600" s="256">
        <f t="shared" si="63"/>
        <v>1.9493311658791423E-3</v>
      </c>
      <c r="Q600" s="256">
        <f t="shared" si="63"/>
        <v>1.0403674216373116E-2</v>
      </c>
      <c r="R600" s="256">
        <f t="shared" si="63"/>
        <v>1.7654190028792243E-2</v>
      </c>
      <c r="S600" s="177">
        <f t="shared" si="63"/>
        <v>1.7208980593584333E-2</v>
      </c>
      <c r="T600" s="256">
        <f t="shared" ref="T600:Y600" si="72">(T578/$S578-1)/(T$2-$S$2)</f>
        <v>1.2408110333532729E-3</v>
      </c>
      <c r="U600" s="256">
        <f t="shared" si="72"/>
        <v>2.9959414622732217E-3</v>
      </c>
      <c r="V600" s="256">
        <f t="shared" si="72"/>
        <v>7.5298011942785221E-3</v>
      </c>
      <c r="W600" s="256">
        <f t="shared" si="72"/>
        <v>6.1761703802592494E-3</v>
      </c>
      <c r="X600" s="256">
        <f t="shared" si="72"/>
        <v>5.0680413577238962E-3</v>
      </c>
      <c r="Y600" s="256">
        <f t="shared" si="72"/>
        <v>1.1614199478591658E-2</v>
      </c>
      <c r="Z600" s="177">
        <f t="shared" si="65"/>
        <v>1.4464467275228956E-2</v>
      </c>
      <c r="AA600" s="177">
        <f t="shared" si="66"/>
        <v>1.3465821822968183E-2</v>
      </c>
      <c r="AB600" s="177">
        <f t="shared" ref="AB600:AK600" si="73">(AB578/$Z578-1)/(AB$2-$Z$2)</f>
        <v>6.7329109114840913E-3</v>
      </c>
      <c r="AC600" s="177">
        <f t="shared" si="73"/>
        <v>4.4886072743227272E-3</v>
      </c>
      <c r="AD600" s="177">
        <f t="shared" si="73"/>
        <v>3.3664554557420456E-3</v>
      </c>
      <c r="AE600" s="177">
        <f t="shared" si="73"/>
        <v>2.6931643645936366E-3</v>
      </c>
      <c r="AF600" s="177">
        <f t="shared" si="73"/>
        <v>2.2443036371613636E-3</v>
      </c>
      <c r="AG600" s="177">
        <f t="shared" si="73"/>
        <v>1.9236888318525974E-3</v>
      </c>
      <c r="AH600" s="177">
        <f t="shared" si="73"/>
        <v>1.6832277278710228E-3</v>
      </c>
      <c r="AI600" s="177">
        <f t="shared" si="73"/>
        <v>1.4962024247742426E-3</v>
      </c>
      <c r="AJ600" s="177">
        <f t="shared" si="73"/>
        <v>1.3465821822968183E-3</v>
      </c>
      <c r="AK600" s="177">
        <f t="shared" si="73"/>
        <v>1.2241656202698348E-3</v>
      </c>
    </row>
    <row r="601" spans="2:37" x14ac:dyDescent="0.25">
      <c r="D601" s="51" t="s">
        <v>618</v>
      </c>
      <c r="H601" s="223" t="s">
        <v>1517</v>
      </c>
      <c r="I601" s="175"/>
      <c r="J601" s="256" t="e">
        <f t="shared" si="62"/>
        <v>#DIV/0!</v>
      </c>
      <c r="K601" s="256" t="e">
        <f t="shared" si="62"/>
        <v>#DIV/0!</v>
      </c>
      <c r="L601" s="256" t="e">
        <f t="shared" si="62"/>
        <v>#DIV/0!</v>
      </c>
      <c r="M601" s="256" t="e">
        <f t="shared" si="62"/>
        <v>#DIV/0!</v>
      </c>
      <c r="N601" s="256" t="e">
        <f t="shared" si="62"/>
        <v>#DIV/0!</v>
      </c>
      <c r="O601" s="177" t="e">
        <f t="shared" si="62"/>
        <v>#DIV/0!</v>
      </c>
      <c r="P601" s="256" t="e">
        <f t="shared" si="63"/>
        <v>#DIV/0!</v>
      </c>
      <c r="Q601" s="256" t="e">
        <f t="shared" si="63"/>
        <v>#DIV/0!</v>
      </c>
      <c r="R601" s="256" t="e">
        <f t="shared" si="63"/>
        <v>#DIV/0!</v>
      </c>
      <c r="S601" s="177" t="e">
        <f t="shared" si="63"/>
        <v>#DIV/0!</v>
      </c>
      <c r="T601" s="256">
        <f t="shared" ref="T601:Y601" si="74">(T579/$S579-1)/(T$2-$S$2)</f>
        <v>-1.867133905387619E-3</v>
      </c>
      <c r="U601" s="256">
        <f t="shared" si="74"/>
        <v>1.3973266840049625E-2</v>
      </c>
      <c r="V601" s="256">
        <f t="shared" si="74"/>
        <v>1.3979563894550942E-2</v>
      </c>
      <c r="W601" s="256">
        <f t="shared" si="74"/>
        <v>1.376280622061854E-2</v>
      </c>
      <c r="X601" s="256">
        <f t="shared" si="74"/>
        <v>1.288351079970158E-2</v>
      </c>
      <c r="Y601" s="256">
        <f t="shared" si="74"/>
        <v>5.9941684646974318E-3</v>
      </c>
      <c r="Z601" s="177">
        <f t="shared" si="65"/>
        <v>5.4733740866077197E-3</v>
      </c>
      <c r="AA601" s="177" t="e">
        <f t="shared" si="66"/>
        <v>#DIV/0!</v>
      </c>
      <c r="AB601" s="177" t="e">
        <f t="shared" ref="AB601:AK601" si="75">(AB579/$Z579-1)/(AB$2-$Z$2)</f>
        <v>#DIV/0!</v>
      </c>
      <c r="AC601" s="177" t="e">
        <f t="shared" si="75"/>
        <v>#DIV/0!</v>
      </c>
      <c r="AD601" s="177" t="e">
        <f t="shared" si="75"/>
        <v>#DIV/0!</v>
      </c>
      <c r="AE601" s="177" t="e">
        <f t="shared" si="75"/>
        <v>#DIV/0!</v>
      </c>
      <c r="AF601" s="177" t="e">
        <f t="shared" si="75"/>
        <v>#DIV/0!</v>
      </c>
      <c r="AG601" s="177" t="e">
        <f t="shared" si="75"/>
        <v>#DIV/0!</v>
      </c>
      <c r="AH601" s="177" t="e">
        <f t="shared" si="75"/>
        <v>#DIV/0!</v>
      </c>
      <c r="AI601" s="177" t="e">
        <f t="shared" si="75"/>
        <v>#DIV/0!</v>
      </c>
      <c r="AJ601" s="177" t="e">
        <f t="shared" si="75"/>
        <v>#DIV/0!</v>
      </c>
      <c r="AK601" s="177" t="e">
        <f t="shared" si="75"/>
        <v>#DIV/0!</v>
      </c>
    </row>
    <row r="602" spans="2:37" x14ac:dyDescent="0.25">
      <c r="D602" s="51" t="s">
        <v>619</v>
      </c>
      <c r="H602" s="223" t="s">
        <v>1517</v>
      </c>
      <c r="I602" s="175"/>
      <c r="J602" s="256" t="e">
        <f t="shared" si="62"/>
        <v>#DIV/0!</v>
      </c>
      <c r="K602" s="256" t="e">
        <f t="shared" si="62"/>
        <v>#DIV/0!</v>
      </c>
      <c r="L602" s="256" t="e">
        <f t="shared" si="62"/>
        <v>#DIV/0!</v>
      </c>
      <c r="M602" s="256" t="e">
        <f t="shared" si="62"/>
        <v>#DIV/0!</v>
      </c>
      <c r="N602" s="256" t="e">
        <f t="shared" si="62"/>
        <v>#DIV/0!</v>
      </c>
      <c r="O602" s="177" t="e">
        <f t="shared" si="62"/>
        <v>#DIV/0!</v>
      </c>
      <c r="P602" s="256" t="e">
        <f t="shared" si="63"/>
        <v>#DIV/0!</v>
      </c>
      <c r="Q602" s="256" t="e">
        <f t="shared" si="63"/>
        <v>#DIV/0!</v>
      </c>
      <c r="R602" s="256" t="e">
        <f t="shared" si="63"/>
        <v>#DIV/0!</v>
      </c>
      <c r="S602" s="177" t="e">
        <f t="shared" si="63"/>
        <v>#DIV/0!</v>
      </c>
      <c r="T602" s="256">
        <f t="shared" ref="T602:Y602" si="76">(T580/$S580-1)/(T$2-$S$2)</f>
        <v>2.8768226467898339E-2</v>
      </c>
      <c r="U602" s="256">
        <f t="shared" si="76"/>
        <v>4.0644752493435132E-2</v>
      </c>
      <c r="V602" s="256">
        <f t="shared" si="76"/>
        <v>3.1561875643531044E-2</v>
      </c>
      <c r="W602" s="256">
        <f t="shared" si="76"/>
        <v>2.7892492276995973E-2</v>
      </c>
      <c r="X602" s="256">
        <f t="shared" si="76"/>
        <v>2.6891597378811083E-2</v>
      </c>
      <c r="Y602" s="256">
        <f t="shared" si="76"/>
        <v>2.4361518744120514E-2</v>
      </c>
      <c r="Z602" s="177">
        <f t="shared" si="65"/>
        <v>2.4998140568032273E-2</v>
      </c>
      <c r="AA602" s="177" t="e">
        <f t="shared" si="66"/>
        <v>#DIV/0!</v>
      </c>
      <c r="AB602" s="177" t="e">
        <f t="shared" ref="AB602:AK602" si="77">(AB580/$Z580-1)/(AB$2-$Z$2)</f>
        <v>#DIV/0!</v>
      </c>
      <c r="AC602" s="177" t="e">
        <f t="shared" si="77"/>
        <v>#DIV/0!</v>
      </c>
      <c r="AD602" s="177" t="e">
        <f t="shared" si="77"/>
        <v>#DIV/0!</v>
      </c>
      <c r="AE602" s="177" t="e">
        <f t="shared" si="77"/>
        <v>#DIV/0!</v>
      </c>
      <c r="AF602" s="177" t="e">
        <f t="shared" si="77"/>
        <v>#DIV/0!</v>
      </c>
      <c r="AG602" s="177" t="e">
        <f t="shared" si="77"/>
        <v>#DIV/0!</v>
      </c>
      <c r="AH602" s="177" t="e">
        <f t="shared" si="77"/>
        <v>#DIV/0!</v>
      </c>
      <c r="AI602" s="177" t="e">
        <f t="shared" si="77"/>
        <v>#DIV/0!</v>
      </c>
      <c r="AJ602" s="177" t="e">
        <f t="shared" si="77"/>
        <v>#DIV/0!</v>
      </c>
      <c r="AK602" s="177" t="e">
        <f t="shared" si="77"/>
        <v>#DIV/0!</v>
      </c>
    </row>
    <row r="603" spans="2:37" x14ac:dyDescent="0.25">
      <c r="D603" s="51" t="s">
        <v>620</v>
      </c>
      <c r="H603" s="223" t="s">
        <v>1517</v>
      </c>
      <c r="I603" s="175"/>
      <c r="J603" s="256" t="e">
        <f t="shared" si="62"/>
        <v>#DIV/0!</v>
      </c>
      <c r="K603" s="256" t="e">
        <f t="shared" si="62"/>
        <v>#DIV/0!</v>
      </c>
      <c r="L603" s="256" t="e">
        <f t="shared" si="62"/>
        <v>#DIV/0!</v>
      </c>
      <c r="M603" s="256" t="e">
        <f t="shared" si="62"/>
        <v>#DIV/0!</v>
      </c>
      <c r="N603" s="256" t="e">
        <f t="shared" si="62"/>
        <v>#DIV/0!</v>
      </c>
      <c r="O603" s="177" t="e">
        <f t="shared" si="62"/>
        <v>#DIV/0!</v>
      </c>
      <c r="P603" s="256" t="e">
        <f t="shared" si="63"/>
        <v>#DIV/0!</v>
      </c>
      <c r="Q603" s="256" t="e">
        <f t="shared" si="63"/>
        <v>#DIV/0!</v>
      </c>
      <c r="R603" s="256" t="e">
        <f t="shared" si="63"/>
        <v>#DIV/0!</v>
      </c>
      <c r="S603" s="177" t="e">
        <f t="shared" si="63"/>
        <v>#DIV/0!</v>
      </c>
      <c r="T603" s="256">
        <f t="shared" ref="T603:Y603" si="78">(T581/$S581-1)/(T$2-$S$2)</f>
        <v>-1.0301195270683072E-2</v>
      </c>
      <c r="U603" s="256">
        <f t="shared" si="78"/>
        <v>2.4729452042992484E-2</v>
      </c>
      <c r="V603" s="256">
        <f t="shared" si="78"/>
        <v>2.1883342873850003E-2</v>
      </c>
      <c r="W603" s="256">
        <f t="shared" si="78"/>
        <v>2.5005695437788522E-2</v>
      </c>
      <c r="X603" s="256">
        <f t="shared" si="78"/>
        <v>2.1545244674746122E-2</v>
      </c>
      <c r="Y603" s="256">
        <f t="shared" si="78"/>
        <v>1.9742679451943339E-2</v>
      </c>
      <c r="Z603" s="177">
        <f t="shared" si="65"/>
        <v>1.7930878972732663E-2</v>
      </c>
      <c r="AA603" s="177" t="e">
        <f t="shared" si="66"/>
        <v>#DIV/0!</v>
      </c>
      <c r="AB603" s="177" t="e">
        <f t="shared" ref="AB603:AK603" si="79">(AB581/$Z581-1)/(AB$2-$Z$2)</f>
        <v>#DIV/0!</v>
      </c>
      <c r="AC603" s="177" t="e">
        <f t="shared" si="79"/>
        <v>#DIV/0!</v>
      </c>
      <c r="AD603" s="177" t="e">
        <f t="shared" si="79"/>
        <v>#DIV/0!</v>
      </c>
      <c r="AE603" s="177" t="e">
        <f t="shared" si="79"/>
        <v>#DIV/0!</v>
      </c>
      <c r="AF603" s="177" t="e">
        <f t="shared" si="79"/>
        <v>#DIV/0!</v>
      </c>
      <c r="AG603" s="177" t="e">
        <f t="shared" si="79"/>
        <v>#DIV/0!</v>
      </c>
      <c r="AH603" s="177" t="e">
        <f t="shared" si="79"/>
        <v>#DIV/0!</v>
      </c>
      <c r="AI603" s="177" t="e">
        <f t="shared" si="79"/>
        <v>#DIV/0!</v>
      </c>
      <c r="AJ603" s="177" t="e">
        <f t="shared" si="79"/>
        <v>#DIV/0!</v>
      </c>
      <c r="AK603" s="177" t="e">
        <f t="shared" si="79"/>
        <v>#DIV/0!</v>
      </c>
    </row>
    <row r="604" spans="2:37" x14ac:dyDescent="0.25">
      <c r="D604" s="51" t="s">
        <v>853</v>
      </c>
      <c r="H604" s="223" t="s">
        <v>1517</v>
      </c>
      <c r="I604" s="175"/>
      <c r="J604" s="256">
        <f t="shared" si="62"/>
        <v>-8.5288698248786599E-3</v>
      </c>
      <c r="K604" s="256">
        <f t="shared" si="62"/>
        <v>1.2483708760067103E-3</v>
      </c>
      <c r="L604" s="256">
        <f t="shared" si="62"/>
        <v>1.1233673389559939E-2</v>
      </c>
      <c r="M604" s="256">
        <f t="shared" si="62"/>
        <v>1.8787981683902444E-2</v>
      </c>
      <c r="N604" s="256">
        <f t="shared" si="62"/>
        <v>2.1048531666175617E-2</v>
      </c>
      <c r="O604" s="177">
        <f t="shared" si="62"/>
        <v>2.2148596082112837E-2</v>
      </c>
      <c r="P604" s="256">
        <f t="shared" si="63"/>
        <v>-7.8880788455266027E-2</v>
      </c>
      <c r="Q604" s="256">
        <f t="shared" si="63"/>
        <v>-5.2061937463085295E-2</v>
      </c>
      <c r="R604" s="256">
        <f t="shared" si="63"/>
        <v>-3.4568380099379716E-2</v>
      </c>
      <c r="S604" s="177">
        <f t="shared" si="63"/>
        <v>-1.9669508185160056E-2</v>
      </c>
      <c r="T604" s="256">
        <f t="shared" ref="T604:Y604" si="80">(T582/$S582-1)/(T$2-$S$2)</f>
        <v>3.9507424984690509E-2</v>
      </c>
      <c r="U604" s="256">
        <f t="shared" si="80"/>
        <v>4.0672362982241195E-2</v>
      </c>
      <c r="V604" s="256">
        <f t="shared" si="80"/>
        <v>3.9764173810981816E-2</v>
      </c>
      <c r="W604" s="256">
        <f t="shared" si="80"/>
        <v>4.0378138395590901E-2</v>
      </c>
      <c r="X604" s="256">
        <f t="shared" si="80"/>
        <v>3.8635754745866488E-2</v>
      </c>
      <c r="Y604" s="256">
        <f t="shared" si="80"/>
        <v>3.3877290008164938E-2</v>
      </c>
      <c r="Z604" s="177">
        <f t="shared" si="65"/>
        <v>3.2890959889773405E-2</v>
      </c>
      <c r="AA604" s="177" t="e">
        <f t="shared" si="66"/>
        <v>#DIV/0!</v>
      </c>
      <c r="AB604" s="177" t="e">
        <f t="shared" ref="AB604:AK604" si="81">(AB582/$Z582-1)/(AB$2-$Z$2)</f>
        <v>#DIV/0!</v>
      </c>
      <c r="AC604" s="177" t="e">
        <f t="shared" si="81"/>
        <v>#DIV/0!</v>
      </c>
      <c r="AD604" s="177" t="e">
        <f t="shared" si="81"/>
        <v>#DIV/0!</v>
      </c>
      <c r="AE604" s="177" t="e">
        <f t="shared" si="81"/>
        <v>#DIV/0!</v>
      </c>
      <c r="AF604" s="177" t="e">
        <f t="shared" si="81"/>
        <v>#DIV/0!</v>
      </c>
      <c r="AG604" s="177" t="e">
        <f t="shared" si="81"/>
        <v>#DIV/0!</v>
      </c>
      <c r="AH604" s="177" t="e">
        <f t="shared" si="81"/>
        <v>#DIV/0!</v>
      </c>
      <c r="AI604" s="177" t="e">
        <f t="shared" si="81"/>
        <v>#DIV/0!</v>
      </c>
      <c r="AJ604" s="177" t="e">
        <f t="shared" si="81"/>
        <v>#DIV/0!</v>
      </c>
      <c r="AK604" s="177" t="e">
        <f t="shared" si="81"/>
        <v>#DIV/0!</v>
      </c>
    </row>
    <row r="605" spans="2:37" x14ac:dyDescent="0.25">
      <c r="E605" s="51" t="s">
        <v>852</v>
      </c>
      <c r="H605" s="223" t="s">
        <v>1517</v>
      </c>
      <c r="I605" s="175"/>
      <c r="J605" s="256">
        <f t="shared" si="62"/>
        <v>-1.1968205932830656E-2</v>
      </c>
      <c r="K605" s="256">
        <f t="shared" si="62"/>
        <v>-5.0560747872716583E-3</v>
      </c>
      <c r="L605" s="256">
        <f t="shared" si="62"/>
        <v>4.86006841231353E-3</v>
      </c>
      <c r="M605" s="256">
        <f t="shared" si="62"/>
        <v>1.1516572087298227E-2</v>
      </c>
      <c r="N605" s="256">
        <f t="shared" si="62"/>
        <v>1.4992427416294963E-2</v>
      </c>
      <c r="O605" s="177">
        <f t="shared" si="62"/>
        <v>1.4554432334185038E-2</v>
      </c>
      <c r="P605" s="256">
        <f t="shared" si="63"/>
        <v>-5.5787850311025844E-2</v>
      </c>
      <c r="Q605" s="256">
        <f t="shared" si="63"/>
        <v>-3.7487737759209883E-2</v>
      </c>
      <c r="R605" s="256">
        <f t="shared" si="63"/>
        <v>-2.3205811704786711E-2</v>
      </c>
      <c r="S605" s="177">
        <f t="shared" si="63"/>
        <v>-1.3248358317960618E-2</v>
      </c>
      <c r="T605" s="256">
        <f t="shared" ref="T605:Y607" si="82">IF(T583&gt;0,(T583/$S583-1)/(T$2-$S$2),(S583/$S583-1)/(S$2-$S$2))</f>
        <v>1.5274948022239609E-2</v>
      </c>
      <c r="U605" s="256">
        <f t="shared" si="82"/>
        <v>1.9041827378198817E-2</v>
      </c>
      <c r="V605" s="256">
        <f t="shared" si="82"/>
        <v>1.7878194979386624E-2</v>
      </c>
      <c r="W605" s="256">
        <f t="shared" si="82"/>
        <v>2.2859442156743015E-2</v>
      </c>
      <c r="X605" s="256">
        <f t="shared" si="82"/>
        <v>2.1418342098353894E-2</v>
      </c>
      <c r="Y605" s="256">
        <f t="shared" si="82"/>
        <v>2.3789677919286434E-2</v>
      </c>
      <c r="Z605" s="177">
        <f>IF(Z583&gt;0,(Z583/$S583-1)/(Z$2-$S$2),(Y583/$S583-1)/(Y$2-$S$2))</f>
        <v>2.3188983646963805E-2</v>
      </c>
      <c r="AA605" s="177" t="e">
        <f t="shared" si="66"/>
        <v>#DIV/0!</v>
      </c>
      <c r="AB605" s="177" t="e">
        <f t="shared" ref="AB605:AK605" si="83">(AB583/$Z583-1)/(AB$2-$Z$2)</f>
        <v>#DIV/0!</v>
      </c>
      <c r="AC605" s="177" t="e">
        <f t="shared" si="83"/>
        <v>#DIV/0!</v>
      </c>
      <c r="AD605" s="177" t="e">
        <f t="shared" si="83"/>
        <v>#DIV/0!</v>
      </c>
      <c r="AE605" s="177" t="e">
        <f t="shared" si="83"/>
        <v>#DIV/0!</v>
      </c>
      <c r="AF605" s="177" t="e">
        <f t="shared" si="83"/>
        <v>#DIV/0!</v>
      </c>
      <c r="AG605" s="177" t="e">
        <f t="shared" si="83"/>
        <v>#DIV/0!</v>
      </c>
      <c r="AH605" s="177" t="e">
        <f t="shared" si="83"/>
        <v>#DIV/0!</v>
      </c>
      <c r="AI605" s="177" t="e">
        <f t="shared" si="83"/>
        <v>#DIV/0!</v>
      </c>
      <c r="AJ605" s="177" t="e">
        <f t="shared" si="83"/>
        <v>#DIV/0!</v>
      </c>
      <c r="AK605" s="177" t="e">
        <f t="shared" si="83"/>
        <v>#DIV/0!</v>
      </c>
    </row>
    <row r="606" spans="2:37" x14ac:dyDescent="0.25">
      <c r="D606" s="51" t="s">
        <v>621</v>
      </c>
      <c r="H606" s="223" t="s">
        <v>1517</v>
      </c>
      <c r="I606" s="175"/>
      <c r="J606" s="256">
        <f t="shared" si="62"/>
        <v>1.8172464009804212E-2</v>
      </c>
      <c r="K606" s="256">
        <f t="shared" si="62"/>
        <v>2.2106603420387061E-2</v>
      </c>
      <c r="L606" s="256">
        <f t="shared" si="62"/>
        <v>3.6380303618319454E-2</v>
      </c>
      <c r="M606" s="256">
        <f t="shared" si="62"/>
        <v>4.3266531560963606E-2</v>
      </c>
      <c r="N606" s="256">
        <f t="shared" si="62"/>
        <v>4.3732554181221642E-2</v>
      </c>
      <c r="O606" s="177">
        <f t="shared" si="62"/>
        <v>3.8051558046800937E-2</v>
      </c>
      <c r="P606" s="256">
        <f t="shared" si="63"/>
        <v>-2.439067664282224E-2</v>
      </c>
      <c r="Q606" s="256">
        <f t="shared" si="63"/>
        <v>-1.1583648562910276E-2</v>
      </c>
      <c r="R606" s="256">
        <f t="shared" si="63"/>
        <v>-1.2765333838855031E-2</v>
      </c>
      <c r="S606" s="177">
        <f t="shared" si="63"/>
        <v>7.5345913135829168E-3</v>
      </c>
      <c r="T606" s="256">
        <f t="shared" si="82"/>
        <v>7.3330162322031711E-3</v>
      </c>
      <c r="U606" s="256">
        <f t="shared" si="82"/>
        <v>3.9441564691050202E-2</v>
      </c>
      <c r="V606" s="256">
        <f t="shared" si="82"/>
        <v>4.1797410733376283E-2</v>
      </c>
      <c r="W606" s="256">
        <f t="shared" si="82"/>
        <v>4.1453605341115918E-2</v>
      </c>
      <c r="X606" s="256">
        <f t="shared" si="82"/>
        <v>4.4180934485964184E-2</v>
      </c>
      <c r="Y606" s="256">
        <f t="shared" si="82"/>
        <v>5.0107747920887534E-2</v>
      </c>
      <c r="Z606" s="177">
        <f>IF(Z584&gt;0,(Z584/$S584-1)/(Z$2-$S$2),(Y584/$S584-1)/(Y$2-$S$2))</f>
        <v>5.1179027687531305E-2</v>
      </c>
      <c r="AA606" s="177" t="e">
        <f>IF(AA584&gt;0,(AA584/$Z584-1)/(AA$2-$Z$2),(Z584/$Z584-1)/(Z$2-$Z$2))</f>
        <v>#DIV/0!</v>
      </c>
      <c r="AB606" s="177" t="e">
        <f t="shared" ref="AB606:AK606" si="84">IF(AB584&gt;0,(AB584/$Z584-1)/(AB$2-$Z$2),(AA584/$Z584-1)/(AA$2-$Z$2))</f>
        <v>#DIV/0!</v>
      </c>
      <c r="AC606" s="177" t="e">
        <f t="shared" si="84"/>
        <v>#DIV/0!</v>
      </c>
      <c r="AD606" s="177" t="e">
        <f t="shared" si="84"/>
        <v>#DIV/0!</v>
      </c>
      <c r="AE606" s="177" t="e">
        <f t="shared" si="84"/>
        <v>#DIV/0!</v>
      </c>
      <c r="AF606" s="177" t="e">
        <f t="shared" si="84"/>
        <v>#DIV/0!</v>
      </c>
      <c r="AG606" s="177" t="e">
        <f t="shared" si="84"/>
        <v>#DIV/0!</v>
      </c>
      <c r="AH606" s="177" t="e">
        <f t="shared" si="84"/>
        <v>#DIV/0!</v>
      </c>
      <c r="AI606" s="177" t="e">
        <f t="shared" si="84"/>
        <v>#DIV/0!</v>
      </c>
      <c r="AJ606" s="177" t="e">
        <f t="shared" si="84"/>
        <v>#DIV/0!</v>
      </c>
      <c r="AK606" s="177" t="e">
        <f t="shared" si="84"/>
        <v>#DIV/0!</v>
      </c>
    </row>
    <row r="607" spans="2:37" x14ac:dyDescent="0.25">
      <c r="D607" s="51" t="s">
        <v>385</v>
      </c>
      <c r="H607" s="223" t="s">
        <v>1517</v>
      </c>
      <c r="I607" s="175"/>
      <c r="J607" s="256">
        <f t="shared" si="62"/>
        <v>8.9626076693201995E-2</v>
      </c>
      <c r="K607" s="256">
        <f t="shared" si="62"/>
        <v>0.14079254664624197</v>
      </c>
      <c r="L607" s="256">
        <f t="shared" si="62"/>
        <v>0.16643646986933192</v>
      </c>
      <c r="M607" s="256">
        <f t="shared" si="62"/>
        <v>0.22542753823359535</v>
      </c>
      <c r="N607" s="256">
        <f t="shared" si="62"/>
        <v>0.20525853193038851</v>
      </c>
      <c r="O607" s="177">
        <f t="shared" si="62"/>
        <v>0.15998886684580163</v>
      </c>
      <c r="P607" s="256">
        <f t="shared" si="63"/>
        <v>-0.18015542016618302</v>
      </c>
      <c r="Q607" s="256">
        <f t="shared" si="63"/>
        <v>-4.5133349990070015E-2</v>
      </c>
      <c r="R607" s="256">
        <f t="shared" si="63"/>
        <v>-1.0901620615060689E-2</v>
      </c>
      <c r="S607" s="177">
        <f t="shared" si="63"/>
        <v>5.9217902148078372E-2</v>
      </c>
      <c r="T607" s="256">
        <f t="shared" si="82"/>
        <v>-8.8409723049511335E-2</v>
      </c>
      <c r="U607" s="256">
        <f t="shared" si="82"/>
        <v>1.8431425360108111E-2</v>
      </c>
      <c r="V607" s="256">
        <f t="shared" si="82"/>
        <v>6.5383174407502853E-3</v>
      </c>
      <c r="W607" s="256">
        <f t="shared" si="82"/>
        <v>1.6543479724655197E-2</v>
      </c>
      <c r="X607" s="256">
        <f t="shared" si="82"/>
        <v>3.5603184386767281E-2</v>
      </c>
      <c r="Y607" s="256">
        <f t="shared" si="82"/>
        <v>3.2004433694002597E-2</v>
      </c>
      <c r="Z607" s="177">
        <f>IF(Z585&gt;0,(Z585/$S585-1)/(Z$2-$S$2),(Y585/$S585-1)/(Y$2-$S$2))</f>
        <v>2.7198552094054688E-2</v>
      </c>
      <c r="AA607" s="177" t="e">
        <f>IF(AA585&gt;0,(AA585/$Z585-1)/(AA$2-$Z$2),(Z585/$Z585-1)/(Z$2-$Z$2))</f>
        <v>#DIV/0!</v>
      </c>
      <c r="AB607" s="177">
        <f t="shared" ref="AB607:AK607" si="85">IF(AB585&gt;0,(AB585/$Z585-1)/(AB$2-$Z$2),(AA585/$Z585-1)/(AA$2-$Z$2))</f>
        <v>-1</v>
      </c>
      <c r="AC607" s="177">
        <f t="shared" si="85"/>
        <v>-0.5</v>
      </c>
      <c r="AD607" s="177">
        <f t="shared" si="85"/>
        <v>-0.33333333333333331</v>
      </c>
      <c r="AE607" s="177">
        <f t="shared" si="85"/>
        <v>-0.25</v>
      </c>
      <c r="AF607" s="177">
        <f t="shared" si="85"/>
        <v>-0.2</v>
      </c>
      <c r="AG607" s="177">
        <f t="shared" si="85"/>
        <v>-0.16666666666666666</v>
      </c>
      <c r="AH607" s="177">
        <f t="shared" si="85"/>
        <v>-0.14285714285714285</v>
      </c>
      <c r="AI607" s="177">
        <f t="shared" si="85"/>
        <v>-0.125</v>
      </c>
      <c r="AJ607" s="177">
        <f t="shared" si="85"/>
        <v>-0.1111111111111111</v>
      </c>
      <c r="AK607" s="177">
        <f t="shared" si="85"/>
        <v>-0.1</v>
      </c>
    </row>
    <row r="608" spans="2:37" x14ac:dyDescent="0.25">
      <c r="D608" s="51" t="s">
        <v>622</v>
      </c>
      <c r="H608" s="223" t="s">
        <v>1517</v>
      </c>
      <c r="I608" s="175"/>
      <c r="J608" s="256" t="e">
        <f t="shared" si="62"/>
        <v>#DIV/0!</v>
      </c>
      <c r="K608" s="256" t="e">
        <f t="shared" si="62"/>
        <v>#DIV/0!</v>
      </c>
      <c r="L608" s="256" t="e">
        <f t="shared" si="62"/>
        <v>#DIV/0!</v>
      </c>
      <c r="M608" s="256" t="e">
        <f t="shared" si="62"/>
        <v>#DIV/0!</v>
      </c>
      <c r="N608" s="256" t="e">
        <f t="shared" si="62"/>
        <v>#DIV/0!</v>
      </c>
      <c r="O608" s="177" t="e">
        <f t="shared" si="62"/>
        <v>#DIV/0!</v>
      </c>
      <c r="P608" s="256" t="e">
        <f t="shared" si="63"/>
        <v>#DIV/0!</v>
      </c>
      <c r="Q608" s="256" t="e">
        <f t="shared" si="63"/>
        <v>#DIV/0!</v>
      </c>
      <c r="R608" s="256" t="e">
        <f t="shared" si="63"/>
        <v>#DIV/0!</v>
      </c>
      <c r="S608" s="177" t="e">
        <f t="shared" si="63"/>
        <v>#DIV/0!</v>
      </c>
      <c r="T608" s="256" t="e">
        <f t="shared" ref="T608:Y608" si="86">(T586/$S586-1)/(T$2-$S$2)</f>
        <v>#DIV/0!</v>
      </c>
      <c r="U608" s="256" t="e">
        <f t="shared" si="86"/>
        <v>#DIV/0!</v>
      </c>
      <c r="V608" s="256" t="e">
        <f t="shared" si="86"/>
        <v>#DIV/0!</v>
      </c>
      <c r="W608" s="256" t="e">
        <f t="shared" si="86"/>
        <v>#DIV/0!</v>
      </c>
      <c r="X608" s="256" t="e">
        <f t="shared" si="86"/>
        <v>#DIV/0!</v>
      </c>
      <c r="Y608" s="256" t="e">
        <f t="shared" si="86"/>
        <v>#DIV/0!</v>
      </c>
      <c r="Z608" s="177" t="e">
        <f>(Z586/$S586-1)/(Z$2-$S$2)</f>
        <v>#DIV/0!</v>
      </c>
      <c r="AA608" s="177" t="e">
        <f>(AA586/$Z586-1)/(AA$2-$Z$2)</f>
        <v>#DIV/0!</v>
      </c>
      <c r="AB608" s="177" t="e">
        <f t="shared" ref="AB608:AK608" si="87">(AB586/$Z586-1)/(AB$2-$Z$2)</f>
        <v>#DIV/0!</v>
      </c>
      <c r="AC608" s="177" t="e">
        <f t="shared" si="87"/>
        <v>#DIV/0!</v>
      </c>
      <c r="AD608" s="177" t="e">
        <f t="shared" si="87"/>
        <v>#DIV/0!</v>
      </c>
      <c r="AE608" s="177" t="e">
        <f t="shared" si="87"/>
        <v>#DIV/0!</v>
      </c>
      <c r="AF608" s="177" t="e">
        <f t="shared" si="87"/>
        <v>#DIV/0!</v>
      </c>
      <c r="AG608" s="177" t="e">
        <f t="shared" si="87"/>
        <v>#DIV/0!</v>
      </c>
      <c r="AH608" s="177" t="e">
        <f t="shared" si="87"/>
        <v>#DIV/0!</v>
      </c>
      <c r="AI608" s="177" t="e">
        <f t="shared" si="87"/>
        <v>#DIV/0!</v>
      </c>
      <c r="AJ608" s="177" t="e">
        <f t="shared" si="87"/>
        <v>#DIV/0!</v>
      </c>
      <c r="AK608" s="177" t="e">
        <f t="shared" si="87"/>
        <v>#DIV/0!</v>
      </c>
    </row>
    <row r="609" spans="1:37" s="223" customFormat="1" x14ac:dyDescent="0.25">
      <c r="D609" s="51"/>
      <c r="E609" s="223" t="s">
        <v>1363</v>
      </c>
      <c r="H609" s="223" t="s">
        <v>1517</v>
      </c>
      <c r="I609" s="175"/>
      <c r="J609" s="256" t="e">
        <f t="shared" ref="J609:O609" si="88">(J588/$J588-1)/(J$2-$J$2)</f>
        <v>#DIV/0!</v>
      </c>
      <c r="K609" s="256">
        <f t="shared" si="88"/>
        <v>-5.8820274457724642E-2</v>
      </c>
      <c r="L609" s="256">
        <f t="shared" si="88"/>
        <v>0.12550335570469806</v>
      </c>
      <c r="M609" s="256">
        <f t="shared" si="88"/>
        <v>0.14274422073079793</v>
      </c>
      <c r="N609" s="256">
        <f t="shared" si="88"/>
        <v>0.16700223713646534</v>
      </c>
      <c r="O609" s="177">
        <f t="shared" si="88"/>
        <v>0.15532733093237291</v>
      </c>
      <c r="P609" s="256">
        <f t="shared" ref="P609:R610" si="89">(P588/$O588-1)/(P$2-$O$2)</f>
        <v>-0.20994504294390393</v>
      </c>
      <c r="Q609" s="256">
        <f t="shared" si="89"/>
        <v>-0.11638626015243941</v>
      </c>
      <c r="R609" s="256">
        <f t="shared" si="89"/>
        <v>-0.12970425606875643</v>
      </c>
      <c r="S609" s="177">
        <f>(S588/$O588-1)/(S$2-$O$2)</f>
        <v>-9.7449007515435726E-2</v>
      </c>
      <c r="T609" s="256">
        <f t="shared" ref="T609:Y610" si="90">(T588/$S588-1)/(T$2-$S$2)</f>
        <v>6.9448613560285422E-2</v>
      </c>
      <c r="U609" s="256">
        <f t="shared" si="90"/>
        <v>9.3963586274128708E-2</v>
      </c>
      <c r="V609" s="256">
        <f t="shared" si="90"/>
        <v>0.11645238291391651</v>
      </c>
      <c r="W609" s="256">
        <f t="shared" si="90"/>
        <v>4.2562425156610573E-2</v>
      </c>
      <c r="X609" s="256">
        <f t="shared" si="90"/>
        <v>2.5489055405819007E-2</v>
      </c>
      <c r="Y609" s="256">
        <f t="shared" si="90"/>
        <v>4.386657055278468E-2</v>
      </c>
      <c r="Z609" s="177">
        <f>(Z588/$S588-1)/(Z$2-$S$2)</f>
        <v>4.6725556849444717E-2</v>
      </c>
      <c r="AA609" s="177">
        <f>(AA588/$Z588-1)/(AA$2-$Z$2)</f>
        <v>0.41421243968537258</v>
      </c>
      <c r="AB609" s="177">
        <f t="shared" ref="AB609:AK609" si="91">(AB588/$Z588-1)/(AB$2-$Z$2)</f>
        <v>-0.5</v>
      </c>
      <c r="AC609" s="177" t="e">
        <f t="shared" si="91"/>
        <v>#DIV/0!</v>
      </c>
      <c r="AD609" s="177" t="e">
        <f t="shared" si="91"/>
        <v>#DIV/0!</v>
      </c>
      <c r="AE609" s="177" t="e">
        <f t="shared" si="91"/>
        <v>#DIV/0!</v>
      </c>
      <c r="AF609" s="177" t="e">
        <f t="shared" si="91"/>
        <v>#DIV/0!</v>
      </c>
      <c r="AG609" s="177" t="e">
        <f t="shared" si="91"/>
        <v>#DIV/0!</v>
      </c>
      <c r="AH609" s="177" t="e">
        <f t="shared" si="91"/>
        <v>#DIV/0!</v>
      </c>
      <c r="AI609" s="177" t="e">
        <f t="shared" si="91"/>
        <v>#DIV/0!</v>
      </c>
      <c r="AJ609" s="177" t="e">
        <f t="shared" si="91"/>
        <v>#DIV/0!</v>
      </c>
      <c r="AK609" s="177" t="e">
        <f t="shared" si="91"/>
        <v>#DIV/0!</v>
      </c>
    </row>
    <row r="610" spans="1:37" s="223" customFormat="1" x14ac:dyDescent="0.25">
      <c r="D610" s="51"/>
      <c r="E610" s="223" t="s">
        <v>1364</v>
      </c>
      <c r="H610" s="223" t="s">
        <v>1517</v>
      </c>
      <c r="I610" s="175"/>
      <c r="J610" s="256">
        <f t="shared" ref="J610:O610" si="92">(J589/$I589-1)/(J$2-$I$2)</f>
        <v>-3.4098642999013884E-2</v>
      </c>
      <c r="K610" s="256">
        <f t="shared" si="92"/>
        <v>-4.6530168430914953E-2</v>
      </c>
      <c r="L610" s="256">
        <f t="shared" si="92"/>
        <v>4.7353445841749719E-2</v>
      </c>
      <c r="M610" s="256">
        <f t="shared" si="92"/>
        <v>4.4984904758801958E-2</v>
      </c>
      <c r="N610" s="256">
        <f t="shared" si="92"/>
        <v>4.4131969331682619E-2</v>
      </c>
      <c r="O610" s="177">
        <f t="shared" si="92"/>
        <v>3.2787872430525611E-2</v>
      </c>
      <c r="P610" s="256">
        <f t="shared" si="89"/>
        <v>2.5232576988618582E-3</v>
      </c>
      <c r="Q610" s="256">
        <f t="shared" si="89"/>
        <v>3.3589983975583326E-2</v>
      </c>
      <c r="R610" s="256">
        <f t="shared" si="89"/>
        <v>3.5844383094364072E-3</v>
      </c>
      <c r="S610" s="177">
        <f>(S589/$O589-1)/(S$2-$O$2)</f>
        <v>-5.31698946062438E-2</v>
      </c>
      <c r="T610" s="256">
        <f t="shared" si="90"/>
        <v>0.47141927084822588</v>
      </c>
      <c r="U610" s="256">
        <f t="shared" si="90"/>
        <v>0.11784155643599925</v>
      </c>
      <c r="V610" s="256">
        <f t="shared" si="90"/>
        <v>0.10445304959548289</v>
      </c>
      <c r="W610" s="256">
        <f t="shared" si="90"/>
        <v>7.7593435192573001E-2</v>
      </c>
      <c r="X610" s="256">
        <f t="shared" si="90"/>
        <v>1.3401946597339754E-2</v>
      </c>
      <c r="Y610" s="256">
        <f t="shared" si="90"/>
        <v>1.5011290001448038E-2</v>
      </c>
      <c r="Z610" s="177">
        <f>(Z589/$S589-1)/(Z$2-$S$2)</f>
        <v>2.1363793839343868E-2</v>
      </c>
      <c r="AA610" s="177">
        <f>(AA589/$Z589-1)/(AA$2-$Z$2)</f>
        <v>5.383525459739591E-2</v>
      </c>
      <c r="AB610" s="177">
        <f t="shared" ref="AB610:AK610" si="93">(AB589/$Z589-1)/(AB$2-$Z$2)</f>
        <v>3.4164794678734345E-2</v>
      </c>
      <c r="AC610" s="177" t="e">
        <f t="shared" si="93"/>
        <v>#DIV/0!</v>
      </c>
      <c r="AD610" s="177" t="e">
        <f t="shared" si="93"/>
        <v>#DIV/0!</v>
      </c>
      <c r="AE610" s="177" t="e">
        <f t="shared" si="93"/>
        <v>#DIV/0!</v>
      </c>
      <c r="AF610" s="177" t="e">
        <f t="shared" si="93"/>
        <v>#DIV/0!</v>
      </c>
      <c r="AG610" s="177" t="e">
        <f t="shared" si="93"/>
        <v>#DIV/0!</v>
      </c>
      <c r="AH610" s="177" t="e">
        <f t="shared" si="93"/>
        <v>#DIV/0!</v>
      </c>
      <c r="AI610" s="177" t="e">
        <f t="shared" si="93"/>
        <v>#DIV/0!</v>
      </c>
      <c r="AJ610" s="177" t="e">
        <f t="shared" si="93"/>
        <v>#DIV/0!</v>
      </c>
      <c r="AK610" s="177" t="e">
        <f t="shared" si="93"/>
        <v>#DIV/0!</v>
      </c>
    </row>
    <row r="611" spans="1:37" x14ac:dyDescent="0.25">
      <c r="D611" s="51" t="s">
        <v>432</v>
      </c>
      <c r="H611" s="223" t="s">
        <v>1517</v>
      </c>
      <c r="I611" s="175"/>
      <c r="J611" s="256">
        <f t="shared" ref="J611:O611" si="94">(J593/$I593-1)/(J$2-$I$2)</f>
        <v>-3.1594333904466532E-2</v>
      </c>
      <c r="K611" s="256">
        <f t="shared" si="94"/>
        <v>-2.7915190060292527E-2</v>
      </c>
      <c r="L611" s="256">
        <f t="shared" si="94"/>
        <v>-1.6888957367659274E-2</v>
      </c>
      <c r="M611" s="256">
        <f t="shared" si="94"/>
        <v>-4.0300615837967069E-3</v>
      </c>
      <c r="N611" s="256">
        <f t="shared" si="94"/>
        <v>-3.5023354830213014E-3</v>
      </c>
      <c r="O611" s="177">
        <f t="shared" si="94"/>
        <v>-2.8097335871503279E-3</v>
      </c>
      <c r="P611" s="256">
        <f>(P593/$O593-1)/(P$2-$O$2)</f>
        <v>0.10191686614385564</v>
      </c>
      <c r="Q611" s="256">
        <f>(Q593/$O593-1)/(Q$2-$O$2)</f>
        <v>4.7511202457178103E-2</v>
      </c>
      <c r="R611" s="256">
        <f>(R593/$O593-1)/(R$2-$O$2)</f>
        <v>1.7709845005676812E-2</v>
      </c>
      <c r="S611" s="177">
        <f>(S593/$O593-1)/(S$2-$O$2)</f>
        <v>1.091448070315304E-2</v>
      </c>
      <c r="T611" s="256">
        <f t="shared" ref="T611:Y611" si="95">(T593/$S593-1)/(T$2-$S$2)</f>
        <v>-7.376922347503978E-3</v>
      </c>
      <c r="U611" s="256">
        <f t="shared" si="95"/>
        <v>1.0212853381256992E-2</v>
      </c>
      <c r="V611" s="256">
        <f t="shared" si="95"/>
        <v>2.4164904769420053E-2</v>
      </c>
      <c r="W611" s="256">
        <f t="shared" si="95"/>
        <v>2.0991938856989911E-2</v>
      </c>
      <c r="X611" s="256">
        <f t="shared" si="95"/>
        <v>4.5264909611575768E-2</v>
      </c>
      <c r="Y611" s="256">
        <f t="shared" si="95"/>
        <v>4.7425737386010115E-2</v>
      </c>
      <c r="Z611" s="177">
        <f>(Z593/$S593-1)/(Z$2-$S$2)</f>
        <v>3.7680552069471948E-2</v>
      </c>
      <c r="AA611" s="177">
        <f>(AA593/$Z593-1)/(AA$2-$Z$2)</f>
        <v>4.8051068228824656E-2</v>
      </c>
      <c r="AB611" s="177">
        <f t="shared" ref="AB611:AK611" si="96">(AB593/$Z593-1)/(AB$2-$Z$2)</f>
        <v>-0.21068753296251697</v>
      </c>
      <c r="AC611" s="177">
        <f t="shared" si="96"/>
        <v>-0.14045835530834463</v>
      </c>
      <c r="AD611" s="177">
        <f t="shared" si="96"/>
        <v>-0.10534376648125848</v>
      </c>
      <c r="AE611" s="177">
        <f t="shared" si="96"/>
        <v>-8.4275013185006784E-2</v>
      </c>
      <c r="AF611" s="177">
        <f t="shared" si="96"/>
        <v>-7.0229177654172317E-2</v>
      </c>
      <c r="AG611" s="177">
        <f t="shared" si="96"/>
        <v>-6.0196437989290565E-2</v>
      </c>
      <c r="AH611" s="177">
        <f t="shared" si="96"/>
        <v>-5.2671883240629241E-2</v>
      </c>
      <c r="AI611" s="177">
        <f t="shared" si="96"/>
        <v>-4.6819451769448212E-2</v>
      </c>
      <c r="AJ611" s="177">
        <f t="shared" si="96"/>
        <v>-4.2137506592503392E-2</v>
      </c>
      <c r="AK611" s="177">
        <f t="shared" si="96"/>
        <v>-3.8306824175003085E-2</v>
      </c>
    </row>
    <row r="612" spans="1:37" s="98" customFormat="1" ht="17.25" x14ac:dyDescent="0.3">
      <c r="A612" s="98" t="s">
        <v>968</v>
      </c>
    </row>
    <row r="613" spans="1:37" x14ac:dyDescent="0.25">
      <c r="B613" s="64" t="s">
        <v>33</v>
      </c>
      <c r="C613" t="s">
        <v>336</v>
      </c>
    </row>
    <row r="614" spans="1:37" x14ac:dyDescent="0.25">
      <c r="B614" s="64"/>
      <c r="C614" t="s">
        <v>1268</v>
      </c>
    </row>
    <row r="615" spans="1:37" x14ac:dyDescent="0.25">
      <c r="B615" s="64" t="s">
        <v>420</v>
      </c>
      <c r="C615" t="s">
        <v>1269</v>
      </c>
    </row>
    <row r="616" spans="1:37" x14ac:dyDescent="0.25">
      <c r="B616" s="64" t="s">
        <v>429</v>
      </c>
      <c r="C616" s="195" t="s">
        <v>1270</v>
      </c>
    </row>
    <row r="617" spans="1:37" s="223" customFormat="1" x14ac:dyDescent="0.25">
      <c r="B617" s="64"/>
      <c r="C617" s="195" t="s">
        <v>1271</v>
      </c>
    </row>
    <row r="618" spans="1:37" s="223" customFormat="1" x14ac:dyDescent="0.25">
      <c r="B618" s="64"/>
      <c r="C618" s="195" t="s">
        <v>1272</v>
      </c>
    </row>
    <row r="619" spans="1:37" s="223" customFormat="1" x14ac:dyDescent="0.25">
      <c r="B619" s="64"/>
      <c r="C619" s="195" t="s">
        <v>1273</v>
      </c>
    </row>
    <row r="620" spans="1:37" s="223" customFormat="1" x14ac:dyDescent="0.25">
      <c r="B620" s="64"/>
      <c r="C620" s="195" t="s">
        <v>1462</v>
      </c>
    </row>
    <row r="621" spans="1:37" s="223" customFormat="1" x14ac:dyDescent="0.25">
      <c r="B621" s="64"/>
      <c r="C621" s="195" t="s">
        <v>1274</v>
      </c>
    </row>
    <row r="622" spans="1:37" s="223" customFormat="1" x14ac:dyDescent="0.25">
      <c r="B622" s="64"/>
      <c r="C622" s="195" t="s">
        <v>10</v>
      </c>
    </row>
    <row r="623" spans="1:37" s="223" customFormat="1" x14ac:dyDescent="0.25">
      <c r="B623" s="64"/>
      <c r="C623" s="195" t="s">
        <v>569</v>
      </c>
    </row>
    <row r="624" spans="1:37" s="223" customFormat="1" x14ac:dyDescent="0.25">
      <c r="B624" s="64"/>
      <c r="C624" s="195" t="s">
        <v>13</v>
      </c>
    </row>
    <row r="625" spans="2:3" s="223" customFormat="1" x14ac:dyDescent="0.25">
      <c r="B625" s="64"/>
      <c r="C625" s="195" t="s">
        <v>14</v>
      </c>
    </row>
    <row r="626" spans="2:3" s="223" customFormat="1" x14ac:dyDescent="0.25">
      <c r="B626" s="64"/>
      <c r="C626" s="195" t="s">
        <v>1275</v>
      </c>
    </row>
    <row r="627" spans="2:3" x14ac:dyDescent="0.25">
      <c r="B627" s="64" t="s">
        <v>421</v>
      </c>
      <c r="C627" t="s">
        <v>2043</v>
      </c>
    </row>
    <row r="628" spans="2:3" x14ac:dyDescent="0.25">
      <c r="B628" s="64" t="s">
        <v>425</v>
      </c>
      <c r="C628" t="s">
        <v>970</v>
      </c>
    </row>
    <row r="629" spans="2:3" x14ac:dyDescent="0.25">
      <c r="B629" s="64"/>
      <c r="C629" t="s">
        <v>971</v>
      </c>
    </row>
    <row r="630" spans="2:3" x14ac:dyDescent="0.25">
      <c r="B630" s="64"/>
      <c r="C630" t="s">
        <v>1601</v>
      </c>
    </row>
    <row r="631" spans="2:3" s="223" customFormat="1" x14ac:dyDescent="0.25">
      <c r="B631" s="64"/>
      <c r="C631" s="223" t="s">
        <v>1279</v>
      </c>
    </row>
    <row r="632" spans="2:3" s="223" customFormat="1" x14ac:dyDescent="0.25">
      <c r="B632" s="64"/>
      <c r="C632" s="223" t="s">
        <v>1602</v>
      </c>
    </row>
    <row r="633" spans="2:3" s="223" customFormat="1" x14ac:dyDescent="0.25">
      <c r="B633" s="64"/>
      <c r="C633" s="223" t="s">
        <v>1603</v>
      </c>
    </row>
    <row r="634" spans="2:3" x14ac:dyDescent="0.25">
      <c r="B634" s="64" t="s">
        <v>333</v>
      </c>
      <c r="C634" t="s">
        <v>1604</v>
      </c>
    </row>
    <row r="635" spans="2:3" x14ac:dyDescent="0.25">
      <c r="B635" s="64"/>
      <c r="C635" t="s">
        <v>1276</v>
      </c>
    </row>
    <row r="636" spans="2:3" s="223" customFormat="1" x14ac:dyDescent="0.25">
      <c r="B636" s="64"/>
      <c r="C636" s="223" t="s">
        <v>1605</v>
      </c>
    </row>
    <row r="637" spans="2:3" s="223" customFormat="1" x14ac:dyDescent="0.25">
      <c r="B637" s="64"/>
      <c r="C637" s="223" t="s">
        <v>1606</v>
      </c>
    </row>
    <row r="638" spans="2:3" s="223" customFormat="1" x14ac:dyDescent="0.25">
      <c r="B638" s="64"/>
      <c r="C638" s="223" t="s">
        <v>1277</v>
      </c>
    </row>
    <row r="639" spans="2:3" x14ac:dyDescent="0.25">
      <c r="B639" s="71" t="s">
        <v>334</v>
      </c>
      <c r="C639" t="s">
        <v>1607</v>
      </c>
    </row>
    <row r="640" spans="2:3" s="223" customFormat="1" x14ac:dyDescent="0.25">
      <c r="B640" s="71"/>
      <c r="C640" s="223" t="s">
        <v>1276</v>
      </c>
    </row>
    <row r="641" spans="2:37" s="223" customFormat="1" x14ac:dyDescent="0.25">
      <c r="B641" s="71"/>
      <c r="C641" s="223" t="s">
        <v>1608</v>
      </c>
    </row>
    <row r="642" spans="2:37" s="223" customFormat="1" x14ac:dyDescent="0.25">
      <c r="B642" s="71"/>
      <c r="C642" s="223" t="s">
        <v>1609</v>
      </c>
    </row>
    <row r="643" spans="2:37" s="223" customFormat="1" x14ac:dyDescent="0.25">
      <c r="B643" s="71"/>
      <c r="C643" s="223" t="s">
        <v>1278</v>
      </c>
    </row>
    <row r="644" spans="2:37" s="223" customFormat="1" x14ac:dyDescent="0.25">
      <c r="B644" s="71"/>
      <c r="C644" s="223" t="s">
        <v>1610</v>
      </c>
    </row>
    <row r="645" spans="2:37" s="121" customFormat="1" ht="15.75" thickBot="1" x14ac:dyDescent="0.3">
      <c r="B645" s="130"/>
      <c r="C645" s="121" t="s">
        <v>1611</v>
      </c>
    </row>
    <row r="646" spans="2:37" s="9" customFormat="1" ht="15.75" thickTop="1" x14ac:dyDescent="0.25">
      <c r="B646" s="66"/>
      <c r="C646" s="51"/>
      <c r="I646" s="97"/>
      <c r="J646" s="97"/>
      <c r="K646" s="97"/>
      <c r="L646" s="97"/>
      <c r="M646" s="97"/>
      <c r="N646" s="97"/>
      <c r="O646" s="97"/>
      <c r="P646" s="97"/>
      <c r="Q646" s="97"/>
      <c r="R646" s="97"/>
      <c r="S646" s="97"/>
      <c r="T646" s="97"/>
      <c r="U646" s="97"/>
      <c r="V646" s="97"/>
      <c r="W646" s="97"/>
      <c r="X646" s="97"/>
      <c r="Y646" s="97"/>
      <c r="Z646" s="97"/>
      <c r="AA646" s="97"/>
      <c r="AB646" s="97"/>
      <c r="AC646" s="97"/>
      <c r="AD646" s="97"/>
      <c r="AE646" s="97"/>
      <c r="AF646" s="97"/>
      <c r="AG646" s="97"/>
      <c r="AH646" s="97"/>
      <c r="AI646" s="97"/>
      <c r="AJ646" s="97"/>
      <c r="AK646" s="97"/>
    </row>
    <row r="647" spans="2:37" s="9" customFormat="1" x14ac:dyDescent="0.25">
      <c r="B647" s="66"/>
      <c r="C647" s="51"/>
      <c r="I647" s="97"/>
      <c r="J647" s="97"/>
      <c r="K647" s="97"/>
      <c r="L647" s="97"/>
      <c r="M647" s="97"/>
      <c r="N647" s="97"/>
      <c r="O647" s="97"/>
      <c r="P647" s="97"/>
      <c r="Q647" s="97"/>
      <c r="R647" s="97"/>
      <c r="S647" s="97"/>
      <c r="T647" s="97"/>
      <c r="U647" s="97"/>
      <c r="V647" s="97"/>
      <c r="W647" s="97"/>
      <c r="X647" s="97"/>
      <c r="Y647" s="97"/>
      <c r="Z647" s="97"/>
      <c r="AA647" s="97"/>
      <c r="AB647" s="97"/>
      <c r="AC647" s="97"/>
      <c r="AD647" s="97"/>
      <c r="AE647" s="97"/>
      <c r="AF647" s="97"/>
      <c r="AG647" s="97"/>
      <c r="AH647" s="97"/>
      <c r="AI647" s="97"/>
      <c r="AJ647" s="97"/>
      <c r="AK647" s="97"/>
    </row>
    <row r="648" spans="2:37" s="9" customFormat="1" x14ac:dyDescent="0.25">
      <c r="B648" s="66"/>
      <c r="C648" s="51"/>
      <c r="I648" s="97"/>
      <c r="J648" s="97"/>
      <c r="K648" s="97"/>
      <c r="L648" s="97"/>
      <c r="M648" s="97"/>
      <c r="N648" s="97"/>
      <c r="O648" s="97"/>
      <c r="P648" s="97"/>
      <c r="Q648" s="97"/>
      <c r="R648" s="97"/>
      <c r="S648" s="97"/>
      <c r="T648" s="97"/>
      <c r="U648" s="97"/>
      <c r="V648" s="97"/>
      <c r="W648" s="97"/>
      <c r="X648" s="97"/>
      <c r="Y648" s="97"/>
      <c r="Z648" s="97"/>
      <c r="AA648" s="97"/>
      <c r="AB648" s="97"/>
      <c r="AC648" s="97"/>
      <c r="AD648" s="97"/>
      <c r="AE648" s="97"/>
      <c r="AF648" s="97"/>
      <c r="AG648" s="97"/>
      <c r="AH648" s="97"/>
      <c r="AI648" s="97"/>
      <c r="AJ648" s="97"/>
      <c r="AK648" s="97"/>
    </row>
    <row r="649" spans="2:37" s="9" customFormat="1" x14ac:dyDescent="0.25">
      <c r="B649" s="66"/>
      <c r="C649" s="51"/>
      <c r="I649" s="97"/>
      <c r="J649" s="97"/>
      <c r="K649" s="97"/>
      <c r="L649" s="97"/>
      <c r="M649" s="97"/>
      <c r="N649" s="97"/>
      <c r="O649" s="97"/>
      <c r="P649" s="97"/>
      <c r="Q649" s="97"/>
      <c r="R649" s="97"/>
      <c r="S649" s="97"/>
      <c r="T649" s="97"/>
      <c r="U649" s="97"/>
      <c r="V649" s="97"/>
      <c r="W649" s="97"/>
      <c r="X649" s="97"/>
      <c r="Y649" s="97"/>
      <c r="Z649" s="97"/>
      <c r="AA649" s="97"/>
      <c r="AB649" s="97"/>
      <c r="AC649" s="97"/>
      <c r="AD649" s="97"/>
      <c r="AE649" s="97"/>
      <c r="AF649" s="97"/>
      <c r="AG649" s="97"/>
      <c r="AH649" s="97"/>
      <c r="AI649" s="97"/>
      <c r="AJ649" s="97"/>
      <c r="AK649" s="97"/>
    </row>
    <row r="650" spans="2:37" s="9" customFormat="1" x14ac:dyDescent="0.25">
      <c r="B650" s="66"/>
      <c r="C650" s="51"/>
      <c r="I650" s="97"/>
      <c r="J650" s="97"/>
      <c r="K650" s="97"/>
      <c r="L650" s="97"/>
      <c r="M650" s="97"/>
      <c r="N650" s="97"/>
      <c r="O650" s="97"/>
      <c r="P650" s="97"/>
      <c r="Q650" s="97"/>
      <c r="R650" s="97"/>
      <c r="S650" s="97"/>
      <c r="T650" s="97"/>
      <c r="U650" s="97"/>
      <c r="V650" s="97"/>
      <c r="W650" s="97"/>
      <c r="X650" s="97"/>
      <c r="Y650" s="97"/>
      <c r="Z650" s="97"/>
      <c r="AA650" s="97"/>
      <c r="AB650" s="97"/>
      <c r="AC650" s="97"/>
      <c r="AD650" s="97"/>
      <c r="AE650" s="97"/>
      <c r="AF650" s="97"/>
      <c r="AG650" s="97"/>
      <c r="AH650" s="97"/>
      <c r="AI650" s="97"/>
      <c r="AJ650" s="97"/>
      <c r="AK650" s="97"/>
    </row>
    <row r="651" spans="2:37" s="9" customFormat="1" x14ac:dyDescent="0.25">
      <c r="B651" s="66"/>
      <c r="C651" s="51"/>
      <c r="I651" s="97"/>
      <c r="J651" s="97"/>
      <c r="K651" s="97"/>
      <c r="L651" s="97"/>
      <c r="M651" s="97"/>
      <c r="N651" s="97"/>
      <c r="O651" s="97"/>
      <c r="P651" s="97"/>
      <c r="Q651" s="97"/>
      <c r="R651" s="97"/>
      <c r="S651" s="97"/>
      <c r="T651" s="97"/>
      <c r="U651" s="97"/>
      <c r="V651" s="97"/>
      <c r="W651" s="97"/>
      <c r="X651" s="97"/>
      <c r="Y651" s="97"/>
      <c r="Z651" s="97"/>
      <c r="AA651" s="97"/>
      <c r="AB651" s="97"/>
      <c r="AC651" s="97"/>
      <c r="AD651" s="97"/>
      <c r="AE651" s="97"/>
      <c r="AF651" s="97"/>
      <c r="AG651" s="97"/>
      <c r="AH651" s="97"/>
      <c r="AI651" s="97"/>
      <c r="AJ651" s="97"/>
      <c r="AK651" s="97"/>
    </row>
    <row r="652" spans="2:37" s="9" customFormat="1" x14ac:dyDescent="0.25">
      <c r="B652" s="66"/>
      <c r="C652" s="51"/>
      <c r="I652" s="97"/>
      <c r="J652" s="97"/>
      <c r="K652" s="97"/>
      <c r="L652" s="97"/>
      <c r="M652" s="97"/>
      <c r="N652" s="97"/>
      <c r="O652" s="97"/>
      <c r="P652" s="97"/>
      <c r="Q652" s="97"/>
      <c r="R652" s="97"/>
      <c r="S652" s="97"/>
      <c r="T652" s="97"/>
      <c r="U652" s="97"/>
      <c r="V652" s="97"/>
      <c r="W652" s="97"/>
      <c r="X652" s="97"/>
      <c r="Y652" s="97"/>
      <c r="Z652" s="97"/>
      <c r="AA652" s="97"/>
      <c r="AB652" s="97"/>
      <c r="AC652" s="97"/>
      <c r="AD652" s="97"/>
      <c r="AE652" s="97"/>
      <c r="AF652" s="97"/>
      <c r="AG652" s="97"/>
      <c r="AH652" s="97"/>
      <c r="AI652" s="97"/>
      <c r="AJ652" s="97"/>
      <c r="AK652" s="97"/>
    </row>
    <row r="653" spans="2:37" s="9" customFormat="1" x14ac:dyDescent="0.25">
      <c r="B653" s="66"/>
      <c r="C653" s="51"/>
      <c r="I653" s="97"/>
      <c r="J653" s="97"/>
      <c r="K653" s="97"/>
      <c r="L653" s="97"/>
      <c r="M653" s="97"/>
      <c r="N653" s="97"/>
      <c r="O653" s="97"/>
      <c r="P653" s="97"/>
      <c r="Q653" s="97"/>
      <c r="R653" s="97"/>
      <c r="S653" s="97"/>
      <c r="T653" s="97"/>
      <c r="U653" s="97"/>
      <c r="V653" s="97"/>
      <c r="W653" s="97"/>
      <c r="X653" s="97"/>
      <c r="Y653" s="97"/>
      <c r="Z653" s="97"/>
      <c r="AA653" s="97"/>
      <c r="AB653" s="97"/>
      <c r="AC653" s="97"/>
      <c r="AD653" s="97"/>
      <c r="AE653" s="97"/>
      <c r="AF653" s="97"/>
      <c r="AG653" s="97"/>
      <c r="AH653" s="97"/>
      <c r="AI653" s="97"/>
      <c r="AJ653" s="97"/>
      <c r="AK653" s="97"/>
    </row>
    <row r="654" spans="2:37" s="9" customFormat="1" x14ac:dyDescent="0.25">
      <c r="B654" s="66"/>
      <c r="C654" s="51"/>
      <c r="I654" s="97"/>
      <c r="J654" s="97"/>
      <c r="K654" s="97"/>
      <c r="L654" s="97"/>
      <c r="M654" s="97"/>
      <c r="N654" s="97"/>
      <c r="O654" s="97"/>
      <c r="P654" s="97"/>
      <c r="Q654" s="97"/>
      <c r="R654" s="97"/>
      <c r="S654" s="97"/>
      <c r="T654" s="97"/>
      <c r="U654" s="97"/>
      <c r="V654" s="97"/>
      <c r="W654" s="97"/>
      <c r="X654" s="97"/>
      <c r="Y654" s="97"/>
      <c r="Z654" s="97"/>
      <c r="AA654" s="97"/>
      <c r="AB654" s="97"/>
      <c r="AC654" s="97"/>
      <c r="AD654" s="97"/>
      <c r="AE654" s="97"/>
      <c r="AF654" s="97"/>
      <c r="AG654" s="97"/>
      <c r="AH654" s="97"/>
      <c r="AI654" s="97"/>
      <c r="AJ654" s="97"/>
      <c r="AK654" s="97"/>
    </row>
    <row r="655" spans="2:37" s="9" customFormat="1" x14ac:dyDescent="0.25">
      <c r="B655" s="66"/>
      <c r="C655" s="51"/>
      <c r="I655" s="97"/>
      <c r="J655" s="97"/>
      <c r="K655" s="97"/>
      <c r="L655" s="97"/>
      <c r="M655" s="97"/>
      <c r="N655" s="97"/>
      <c r="O655" s="97"/>
      <c r="P655" s="97"/>
      <c r="Q655" s="97"/>
      <c r="R655" s="97"/>
      <c r="S655" s="97"/>
      <c r="T655" s="97"/>
      <c r="U655" s="97"/>
      <c r="V655" s="97"/>
      <c r="W655" s="97"/>
      <c r="X655" s="97"/>
      <c r="Y655" s="97"/>
      <c r="Z655" s="97"/>
      <c r="AA655" s="97"/>
      <c r="AB655" s="97"/>
      <c r="AC655" s="97"/>
      <c r="AD655" s="97"/>
      <c r="AE655" s="97"/>
      <c r="AF655" s="97"/>
      <c r="AG655" s="97"/>
      <c r="AH655" s="97"/>
      <c r="AI655" s="97"/>
      <c r="AJ655" s="97"/>
      <c r="AK655" s="97"/>
    </row>
    <row r="656" spans="2:37" s="9" customFormat="1" x14ac:dyDescent="0.25">
      <c r="B656" s="66"/>
      <c r="C656" s="51"/>
      <c r="I656" s="97"/>
      <c r="J656" s="97"/>
      <c r="K656" s="97"/>
      <c r="L656" s="97"/>
      <c r="M656" s="97"/>
      <c r="N656" s="97"/>
      <c r="O656" s="97"/>
      <c r="P656" s="97"/>
      <c r="Q656" s="97"/>
      <c r="R656" s="97"/>
      <c r="S656" s="97"/>
      <c r="T656" s="97"/>
      <c r="U656" s="97"/>
      <c r="V656" s="97"/>
      <c r="W656" s="97"/>
      <c r="X656" s="97"/>
      <c r="Y656" s="97"/>
      <c r="Z656" s="97"/>
      <c r="AA656" s="97"/>
      <c r="AB656" s="97"/>
      <c r="AC656" s="97"/>
      <c r="AD656" s="97"/>
      <c r="AE656" s="97"/>
      <c r="AF656" s="97"/>
      <c r="AG656" s="97"/>
      <c r="AH656" s="97"/>
      <c r="AI656" s="97"/>
      <c r="AJ656" s="97"/>
      <c r="AK656" s="97"/>
    </row>
    <row r="657" spans="2:37" s="9" customFormat="1" x14ac:dyDescent="0.25">
      <c r="B657" s="66"/>
      <c r="C657" s="51"/>
      <c r="I657" s="97"/>
      <c r="J657" s="97"/>
      <c r="K657" s="97"/>
      <c r="L657" s="97"/>
      <c r="M657" s="97"/>
      <c r="N657" s="97"/>
      <c r="O657" s="97"/>
      <c r="P657" s="97"/>
      <c r="Q657" s="97"/>
      <c r="R657" s="97"/>
      <c r="S657" s="97"/>
      <c r="T657" s="97"/>
      <c r="U657" s="97"/>
      <c r="V657" s="97"/>
      <c r="W657" s="97"/>
      <c r="X657" s="97"/>
      <c r="Y657" s="97"/>
      <c r="Z657" s="97"/>
      <c r="AA657" s="97"/>
      <c r="AB657" s="97"/>
      <c r="AC657" s="97"/>
      <c r="AD657" s="97"/>
      <c r="AE657" s="97"/>
      <c r="AF657" s="97"/>
      <c r="AG657" s="97"/>
      <c r="AH657" s="97"/>
      <c r="AI657" s="97"/>
      <c r="AJ657" s="97"/>
      <c r="AK657" s="97"/>
    </row>
    <row r="658" spans="2:37" s="9" customFormat="1" x14ac:dyDescent="0.25">
      <c r="B658" s="66"/>
      <c r="C658" s="51"/>
      <c r="I658" s="97"/>
      <c r="J658" s="97"/>
      <c r="K658" s="97"/>
      <c r="L658" s="97"/>
      <c r="M658" s="97"/>
      <c r="N658" s="97"/>
      <c r="O658" s="97"/>
      <c r="P658" s="97"/>
      <c r="Q658" s="97"/>
      <c r="R658" s="97"/>
      <c r="S658" s="97"/>
      <c r="T658" s="97"/>
      <c r="U658" s="97"/>
      <c r="V658" s="97"/>
      <c r="W658" s="97"/>
      <c r="X658" s="97"/>
      <c r="Y658" s="97"/>
      <c r="Z658" s="97"/>
      <c r="AA658" s="97"/>
      <c r="AB658" s="97"/>
      <c r="AC658" s="97"/>
      <c r="AD658" s="97"/>
      <c r="AE658" s="97"/>
      <c r="AF658" s="97"/>
      <c r="AG658" s="97"/>
      <c r="AH658" s="97"/>
      <c r="AI658" s="97"/>
      <c r="AJ658" s="97"/>
      <c r="AK658" s="97"/>
    </row>
    <row r="659" spans="2:37" s="9" customFormat="1" x14ac:dyDescent="0.25">
      <c r="B659" s="66"/>
      <c r="C659" s="51"/>
      <c r="I659" s="97"/>
      <c r="J659" s="97"/>
      <c r="K659" s="97"/>
      <c r="L659" s="97"/>
      <c r="M659" s="97"/>
      <c r="N659" s="97"/>
      <c r="O659" s="97"/>
      <c r="P659" s="97"/>
      <c r="Q659" s="97"/>
      <c r="R659" s="97"/>
      <c r="S659" s="97"/>
      <c r="T659" s="97"/>
      <c r="U659" s="97"/>
      <c r="V659" s="97"/>
      <c r="W659" s="97"/>
      <c r="X659" s="97"/>
      <c r="Y659" s="97"/>
      <c r="Z659" s="97"/>
      <c r="AA659" s="97"/>
      <c r="AB659" s="97"/>
      <c r="AC659" s="97"/>
      <c r="AD659" s="97"/>
      <c r="AE659" s="97"/>
      <c r="AF659" s="97"/>
      <c r="AG659" s="97"/>
      <c r="AH659" s="97"/>
      <c r="AI659" s="97"/>
      <c r="AJ659" s="97"/>
      <c r="AK659" s="97"/>
    </row>
    <row r="660" spans="2:37" s="9" customFormat="1" x14ac:dyDescent="0.25">
      <c r="B660" s="66"/>
      <c r="C660" s="51"/>
      <c r="I660" s="97"/>
      <c r="J660" s="97"/>
      <c r="K660" s="97"/>
      <c r="L660" s="97"/>
      <c r="M660" s="97"/>
      <c r="N660" s="97"/>
      <c r="O660" s="97"/>
      <c r="P660" s="97"/>
      <c r="Q660" s="97"/>
      <c r="R660" s="97"/>
      <c r="S660" s="97"/>
      <c r="T660" s="97"/>
      <c r="U660" s="97"/>
      <c r="V660" s="97"/>
      <c r="W660" s="97"/>
      <c r="X660" s="97"/>
      <c r="Y660" s="97"/>
      <c r="Z660" s="97"/>
      <c r="AA660" s="97"/>
      <c r="AB660" s="97"/>
      <c r="AC660" s="97"/>
      <c r="AD660" s="97"/>
      <c r="AE660" s="97"/>
      <c r="AF660" s="97"/>
      <c r="AG660" s="97"/>
      <c r="AH660" s="97"/>
      <c r="AI660" s="97"/>
      <c r="AJ660" s="97"/>
      <c r="AK660" s="97"/>
    </row>
    <row r="661" spans="2:37" s="178" customFormat="1" x14ac:dyDescent="0.25">
      <c r="B661" s="66" t="s">
        <v>34</v>
      </c>
      <c r="C661" s="180" t="s">
        <v>473</v>
      </c>
      <c r="H661" s="178" t="s">
        <v>1267</v>
      </c>
      <c r="I661" s="181"/>
      <c r="J661" s="181"/>
      <c r="K661" s="181"/>
      <c r="L661" s="181"/>
      <c r="M661" s="181"/>
      <c r="N661" s="181"/>
      <c r="O661" s="181"/>
      <c r="P661" s="181"/>
      <c r="Q661" s="181">
        <f t="shared" ref="Q661:AK661" si="97">AVERAGE(Q665:Q676)</f>
        <v>45816.266130268465</v>
      </c>
      <c r="R661" s="181">
        <f t="shared" si="97"/>
        <v>45550.596627290586</v>
      </c>
      <c r="S661" s="181">
        <f t="shared" si="97"/>
        <v>47161.094599935641</v>
      </c>
      <c r="T661" s="181">
        <f t="shared" si="97"/>
        <v>47451.217368195008</v>
      </c>
      <c r="U661" s="181">
        <f t="shared" si="97"/>
        <v>49687.305422336336</v>
      </c>
      <c r="V661" s="181">
        <f t="shared" si="97"/>
        <v>50061.190806737817</v>
      </c>
      <c r="W661" s="181">
        <f t="shared" si="97"/>
        <v>51146.009393165914</v>
      </c>
      <c r="X661" s="181">
        <f t="shared" si="97"/>
        <v>51616.478856282491</v>
      </c>
      <c r="Y661" s="181">
        <f t="shared" si="97"/>
        <v>51234.227022037412</v>
      </c>
      <c r="Z661" s="181">
        <f t="shared" si="97"/>
        <v>51856.37306989912</v>
      </c>
      <c r="AA661" s="181" t="e">
        <f t="shared" si="97"/>
        <v>#DIV/0!</v>
      </c>
      <c r="AB661" s="181" t="e">
        <f t="shared" si="97"/>
        <v>#DIV/0!</v>
      </c>
      <c r="AC661" s="181" t="e">
        <f t="shared" si="97"/>
        <v>#DIV/0!</v>
      </c>
      <c r="AD661" s="181" t="e">
        <f t="shared" si="97"/>
        <v>#DIV/0!</v>
      </c>
      <c r="AE661" s="181" t="e">
        <f t="shared" si="97"/>
        <v>#DIV/0!</v>
      </c>
      <c r="AF661" s="181" t="e">
        <f t="shared" si="97"/>
        <v>#DIV/0!</v>
      </c>
      <c r="AG661" s="181" t="e">
        <f t="shared" si="97"/>
        <v>#DIV/0!</v>
      </c>
      <c r="AH661" s="181" t="e">
        <f t="shared" si="97"/>
        <v>#DIV/0!</v>
      </c>
      <c r="AI661" s="181" t="e">
        <f t="shared" si="97"/>
        <v>#DIV/0!</v>
      </c>
      <c r="AJ661" s="181" t="e">
        <f t="shared" si="97"/>
        <v>#DIV/0!</v>
      </c>
      <c r="AK661" s="181" t="e">
        <f t="shared" si="97"/>
        <v>#DIV/0!</v>
      </c>
    </row>
    <row r="662" spans="2:37" s="109" customFormat="1" x14ac:dyDescent="0.25">
      <c r="B662" s="182"/>
      <c r="C662" s="129"/>
      <c r="D662" s="109" t="s">
        <v>462</v>
      </c>
      <c r="H662" s="109" t="s">
        <v>1267</v>
      </c>
      <c r="I662" s="136"/>
      <c r="J662" s="136"/>
      <c r="K662" s="136"/>
      <c r="L662" s="136"/>
      <c r="M662" s="136"/>
      <c r="N662" s="136"/>
      <c r="O662" s="136"/>
      <c r="P662" s="136"/>
      <c r="Q662" s="136">
        <f t="shared" ref="Q662:AK662" si="98">AVERAGE(Q670:Q673)</f>
        <v>62689.600932795875</v>
      </c>
      <c r="R662" s="136">
        <f t="shared" si="98"/>
        <v>62403.223151453087</v>
      </c>
      <c r="S662" s="136">
        <f t="shared" si="98"/>
        <v>63689.712343710795</v>
      </c>
      <c r="T662" s="136">
        <f t="shared" si="98"/>
        <v>63570.795122369469</v>
      </c>
      <c r="U662" s="136">
        <f t="shared" si="98"/>
        <v>65469.619034800147</v>
      </c>
      <c r="V662" s="136">
        <f t="shared" si="98"/>
        <v>66360.775553114217</v>
      </c>
      <c r="W662" s="136">
        <f t="shared" si="98"/>
        <v>67195.909020644511</v>
      </c>
      <c r="X662" s="136">
        <f t="shared" si="98"/>
        <v>67792.447827761222</v>
      </c>
      <c r="Y662" s="136">
        <f t="shared" si="98"/>
        <v>65980.31353524873</v>
      </c>
      <c r="Z662" s="136">
        <f t="shared" si="98"/>
        <v>66129.895691589758</v>
      </c>
      <c r="AA662" s="136" t="e">
        <f t="shared" si="98"/>
        <v>#DIV/0!</v>
      </c>
      <c r="AB662" s="136" t="e">
        <f t="shared" si="98"/>
        <v>#DIV/0!</v>
      </c>
      <c r="AC662" s="136" t="e">
        <f t="shared" si="98"/>
        <v>#DIV/0!</v>
      </c>
      <c r="AD662" s="136" t="e">
        <f t="shared" si="98"/>
        <v>#DIV/0!</v>
      </c>
      <c r="AE662" s="136" t="e">
        <f t="shared" si="98"/>
        <v>#DIV/0!</v>
      </c>
      <c r="AF662" s="136" t="e">
        <f t="shared" si="98"/>
        <v>#DIV/0!</v>
      </c>
      <c r="AG662" s="136" t="e">
        <f t="shared" si="98"/>
        <v>#DIV/0!</v>
      </c>
      <c r="AH662" s="136" t="e">
        <f t="shared" si="98"/>
        <v>#DIV/0!</v>
      </c>
      <c r="AI662" s="136" t="e">
        <f t="shared" si="98"/>
        <v>#DIV/0!</v>
      </c>
      <c r="AJ662" s="136" t="e">
        <f t="shared" si="98"/>
        <v>#DIV/0!</v>
      </c>
      <c r="AK662" s="136" t="e">
        <f t="shared" si="98"/>
        <v>#DIV/0!</v>
      </c>
    </row>
    <row r="663" spans="2:37" s="109" customFormat="1" x14ac:dyDescent="0.25">
      <c r="B663" s="182"/>
      <c r="C663" s="129"/>
      <c r="D663" s="109" t="s">
        <v>463</v>
      </c>
      <c r="H663" s="109" t="s">
        <v>1267</v>
      </c>
      <c r="I663" s="136"/>
      <c r="J663" s="136"/>
      <c r="K663" s="136"/>
      <c r="L663" s="136"/>
      <c r="M663" s="136"/>
      <c r="N663" s="136"/>
      <c r="O663" s="136"/>
      <c r="P663" s="136"/>
      <c r="Q663" s="136">
        <f>AVERAGE(Q665:Q667,Q676)</f>
        <v>39884.908790538648</v>
      </c>
      <c r="R663" s="136">
        <f>AVERAGE(R665:R667,Q676)</f>
        <v>39692.069694930411</v>
      </c>
      <c r="S663" s="136">
        <f>AVERAGE(S665:S667,R676)</f>
        <v>41315.033767195433</v>
      </c>
      <c r="T663" s="136">
        <f t="shared" ref="T663:AK663" si="99">AVERAGE(T665:T667,S676)</f>
        <v>42503.59401513898</v>
      </c>
      <c r="U663" s="136">
        <f t="shared" si="99"/>
        <v>44673.512410646581</v>
      </c>
      <c r="V663" s="136">
        <f t="shared" si="99"/>
        <v>45226.973641100958</v>
      </c>
      <c r="W663" s="136">
        <f t="shared" si="99"/>
        <v>45924.550808296735</v>
      </c>
      <c r="X663" s="136">
        <f t="shared" si="99"/>
        <v>46870.170035992458</v>
      </c>
      <c r="Y663" s="136">
        <f t="shared" si="99"/>
        <v>47354.015584396453</v>
      </c>
      <c r="Z663" s="136">
        <f t="shared" si="99"/>
        <v>48544.626918992893</v>
      </c>
      <c r="AA663" s="136" t="e">
        <f t="shared" si="99"/>
        <v>#DIV/0!</v>
      </c>
      <c r="AB663" s="136" t="e">
        <f t="shared" si="99"/>
        <v>#DIV/0!</v>
      </c>
      <c r="AC663" s="136" t="e">
        <f t="shared" si="99"/>
        <v>#DIV/0!</v>
      </c>
      <c r="AD663" s="136" t="e">
        <f t="shared" si="99"/>
        <v>#DIV/0!</v>
      </c>
      <c r="AE663" s="136" t="e">
        <f t="shared" si="99"/>
        <v>#DIV/0!</v>
      </c>
      <c r="AF663" s="136" t="e">
        <f t="shared" si="99"/>
        <v>#DIV/0!</v>
      </c>
      <c r="AG663" s="136" t="e">
        <f t="shared" si="99"/>
        <v>#DIV/0!</v>
      </c>
      <c r="AH663" s="136" t="e">
        <f t="shared" si="99"/>
        <v>#DIV/0!</v>
      </c>
      <c r="AI663" s="136" t="e">
        <f t="shared" si="99"/>
        <v>#DIV/0!</v>
      </c>
      <c r="AJ663" s="136" t="e">
        <f t="shared" si="99"/>
        <v>#DIV/0!</v>
      </c>
      <c r="AK663" s="136" t="e">
        <f t="shared" si="99"/>
        <v>#DIV/0!</v>
      </c>
    </row>
    <row r="664" spans="2:37" s="109" customFormat="1" x14ac:dyDescent="0.25">
      <c r="B664" s="182"/>
      <c r="C664" s="129"/>
      <c r="D664" s="109" t="s">
        <v>464</v>
      </c>
      <c r="H664" s="109" t="s">
        <v>1267</v>
      </c>
      <c r="I664" s="136"/>
      <c r="J664" s="136"/>
      <c r="K664" s="136"/>
      <c r="L664" s="136"/>
      <c r="M664" s="136"/>
      <c r="N664" s="136"/>
      <c r="O664" s="136"/>
      <c r="P664" s="136"/>
      <c r="Q664" s="136">
        <f t="shared" ref="Q664:AK664" si="100">AVERAGE(Q668:Q669,Q674:Q675)</f>
        <v>34874.288667470886</v>
      </c>
      <c r="R664" s="136">
        <f t="shared" si="100"/>
        <v>34405.871718960909</v>
      </c>
      <c r="S664" s="136">
        <f t="shared" si="100"/>
        <v>36281.470800200892</v>
      </c>
      <c r="T664" s="136">
        <f t="shared" si="100"/>
        <v>35907.728284780438</v>
      </c>
      <c r="U664" s="136">
        <f t="shared" si="100"/>
        <v>38075.912584606493</v>
      </c>
      <c r="V664" s="136">
        <f t="shared" si="100"/>
        <v>38663.350396666014</v>
      </c>
      <c r="W664" s="136">
        <f t="shared" si="100"/>
        <v>39910.444435660254</v>
      </c>
      <c r="X664" s="136">
        <f t="shared" si="100"/>
        <v>40189.936627950818</v>
      </c>
      <c r="Y664" s="136">
        <f t="shared" si="100"/>
        <v>40579.231488521342</v>
      </c>
      <c r="Z664" s="136">
        <f t="shared" si="100"/>
        <v>40835.381433298848</v>
      </c>
      <c r="AA664" s="136" t="e">
        <f t="shared" si="100"/>
        <v>#DIV/0!</v>
      </c>
      <c r="AB664" s="136" t="e">
        <f t="shared" si="100"/>
        <v>#DIV/0!</v>
      </c>
      <c r="AC664" s="136" t="e">
        <f t="shared" si="100"/>
        <v>#DIV/0!</v>
      </c>
      <c r="AD664" s="136" t="e">
        <f t="shared" si="100"/>
        <v>#DIV/0!</v>
      </c>
      <c r="AE664" s="136" t="e">
        <f t="shared" si="100"/>
        <v>#DIV/0!</v>
      </c>
      <c r="AF664" s="136" t="e">
        <f t="shared" si="100"/>
        <v>#DIV/0!</v>
      </c>
      <c r="AG664" s="136" t="e">
        <f t="shared" si="100"/>
        <v>#DIV/0!</v>
      </c>
      <c r="AH664" s="136" t="e">
        <f t="shared" si="100"/>
        <v>#DIV/0!</v>
      </c>
      <c r="AI664" s="136" t="e">
        <f t="shared" si="100"/>
        <v>#DIV/0!</v>
      </c>
      <c r="AJ664" s="136" t="e">
        <f t="shared" si="100"/>
        <v>#DIV/0!</v>
      </c>
      <c r="AK664" s="136" t="e">
        <f t="shared" si="100"/>
        <v>#DIV/0!</v>
      </c>
    </row>
    <row r="665" spans="2:37" s="9" customFormat="1" x14ac:dyDescent="0.25">
      <c r="B665" s="66"/>
      <c r="C665" s="51"/>
      <c r="D665" s="9" t="s">
        <v>314</v>
      </c>
      <c r="H665" s="9" t="s">
        <v>1267</v>
      </c>
      <c r="I665" s="97"/>
      <c r="J665" s="97"/>
      <c r="K665" s="97"/>
      <c r="L665" s="97"/>
      <c r="M665" s="97"/>
      <c r="N665" s="97"/>
      <c r="O665" s="97"/>
      <c r="P665" s="97"/>
      <c r="Q665" s="97">
        <f t="shared" ref="Q665:Y665" si="101">Q$678+Q682+Q695+Q720*(SUM(Q$708,Q$710)*Q$711+Q$713*Q$714+Q$715*Q$716+Q$717*Q$718)+Q733+Q746+Q759+Q772</f>
        <v>39653.012997177902</v>
      </c>
      <c r="R665" s="97">
        <f t="shared" si="101"/>
        <v>39225.364935502716</v>
      </c>
      <c r="S665" s="97">
        <f t="shared" si="101"/>
        <v>40632.442492118047</v>
      </c>
      <c r="T665" s="97">
        <f t="shared" si="101"/>
        <v>41053.719769959986</v>
      </c>
      <c r="U665" s="97">
        <f t="shared" si="101"/>
        <v>44592.113788733637</v>
      </c>
      <c r="V665" s="97">
        <f t="shared" si="101"/>
        <v>44905.427321306241</v>
      </c>
      <c r="W665" s="97">
        <f t="shared" si="101"/>
        <v>45662.546092042954</v>
      </c>
      <c r="X665" s="97">
        <f t="shared" si="101"/>
        <v>47344.589778515234</v>
      </c>
      <c r="Y665" s="97">
        <f t="shared" si="101"/>
        <v>48456.920098100985</v>
      </c>
      <c r="Z665" s="97">
        <f>Z$678+Z682+Z695+Z720*(SUM(Z$708,Z$710)*Z$711+Z$713*Z$714+Z$715*Z$716+Z$717*Z$718)+Z733+Z746+Z759+Z772</f>
        <v>49040.463733630757</v>
      </c>
      <c r="AA665" s="97" t="e">
        <f t="shared" ref="AA665:AK665" si="102">AA$678+AA682+AA695+AA720*(AA$713*AA$714+AA$715*AA$716+AA$717*AA$718)+AA733+AA746+AA759+AA772</f>
        <v>#DIV/0!</v>
      </c>
      <c r="AB665" s="97" t="e">
        <f t="shared" si="102"/>
        <v>#DIV/0!</v>
      </c>
      <c r="AC665" s="97" t="e">
        <f t="shared" si="102"/>
        <v>#DIV/0!</v>
      </c>
      <c r="AD665" s="97" t="e">
        <f t="shared" si="102"/>
        <v>#DIV/0!</v>
      </c>
      <c r="AE665" s="97" t="e">
        <f t="shared" si="102"/>
        <v>#DIV/0!</v>
      </c>
      <c r="AF665" s="97" t="e">
        <f t="shared" si="102"/>
        <v>#DIV/0!</v>
      </c>
      <c r="AG665" s="97" t="e">
        <f t="shared" si="102"/>
        <v>#DIV/0!</v>
      </c>
      <c r="AH665" s="97" t="e">
        <f t="shared" si="102"/>
        <v>#DIV/0!</v>
      </c>
      <c r="AI665" s="97" t="e">
        <f t="shared" si="102"/>
        <v>#DIV/0!</v>
      </c>
      <c r="AJ665" s="97" t="e">
        <f t="shared" si="102"/>
        <v>#DIV/0!</v>
      </c>
      <c r="AK665" s="97" t="e">
        <f t="shared" si="102"/>
        <v>#DIV/0!</v>
      </c>
    </row>
    <row r="666" spans="2:37" s="9" customFormat="1" x14ac:dyDescent="0.25">
      <c r="B666" s="66"/>
      <c r="C666" s="51"/>
      <c r="D666" s="9" t="s">
        <v>315</v>
      </c>
      <c r="H666" s="9" t="s">
        <v>1267</v>
      </c>
      <c r="I666" s="97"/>
      <c r="J666" s="97"/>
      <c r="K666" s="97"/>
      <c r="L666" s="97"/>
      <c r="M666" s="97"/>
      <c r="N666" s="97"/>
      <c r="O666" s="97"/>
      <c r="P666" s="97"/>
      <c r="Q666" s="97">
        <f t="shared" ref="Q666:Y666" si="103">Q$678+Q683+Q696+Q721*(SUM(Q$708,Q$710)*Q$711+Q$713*Q$714+Q$715*Q$716+Q$717*Q$718)+Q734+Q747+Q760+Q773</f>
        <v>42852.905027024564</v>
      </c>
      <c r="R666" s="97">
        <f t="shared" si="103"/>
        <v>42849.20934215228</v>
      </c>
      <c r="S666" s="97">
        <f t="shared" si="103"/>
        <v>45697.524554064679</v>
      </c>
      <c r="T666" s="97">
        <f t="shared" si="103"/>
        <v>47759.812185254799</v>
      </c>
      <c r="U666" s="97">
        <f t="shared" si="103"/>
        <v>48321.336034708154</v>
      </c>
      <c r="V666" s="97">
        <f t="shared" si="103"/>
        <v>48260.444711796881</v>
      </c>
      <c r="W666" s="97">
        <f t="shared" si="103"/>
        <v>48350.215966598349</v>
      </c>
      <c r="X666" s="97">
        <f t="shared" si="103"/>
        <v>48950.167152028022</v>
      </c>
      <c r="Y666" s="97">
        <f t="shared" si="103"/>
        <v>49899.569661388778</v>
      </c>
      <c r="Z666" s="97">
        <f t="shared" ref="Z666:Z676" si="104">Z$678+Z683+Z696+Z721*(SUM(Z$708,Z$710)*Z$711+Z$713*Z$714+Z$715*Z$716+Z$717*Z$718)+Z734+Z747+Z760+Z773</f>
        <v>52787.615395310168</v>
      </c>
      <c r="AA666" s="97" t="e">
        <f t="shared" ref="AA666:AK666" si="105">AA$678+AA683+AA696+AA721*(AA$713*AA$714+AA$715*AA$716+AA$717*AA$718)+AA734+AA747+AA760+AA773</f>
        <v>#DIV/0!</v>
      </c>
      <c r="AB666" s="97" t="e">
        <f t="shared" si="105"/>
        <v>#DIV/0!</v>
      </c>
      <c r="AC666" s="97" t="e">
        <f t="shared" si="105"/>
        <v>#DIV/0!</v>
      </c>
      <c r="AD666" s="97" t="e">
        <f t="shared" si="105"/>
        <v>#DIV/0!</v>
      </c>
      <c r="AE666" s="97" t="e">
        <f t="shared" si="105"/>
        <v>#DIV/0!</v>
      </c>
      <c r="AF666" s="97" t="e">
        <f t="shared" si="105"/>
        <v>#DIV/0!</v>
      </c>
      <c r="AG666" s="97" t="e">
        <f t="shared" si="105"/>
        <v>#DIV/0!</v>
      </c>
      <c r="AH666" s="97" t="e">
        <f t="shared" si="105"/>
        <v>#DIV/0!</v>
      </c>
      <c r="AI666" s="97" t="e">
        <f t="shared" si="105"/>
        <v>#DIV/0!</v>
      </c>
      <c r="AJ666" s="97" t="e">
        <f t="shared" si="105"/>
        <v>#DIV/0!</v>
      </c>
      <c r="AK666" s="97" t="e">
        <f t="shared" si="105"/>
        <v>#DIV/0!</v>
      </c>
    </row>
    <row r="667" spans="2:37" s="9" customFormat="1" x14ac:dyDescent="0.25">
      <c r="B667" s="66"/>
      <c r="C667" s="51"/>
      <c r="D667" s="9" t="s">
        <v>316</v>
      </c>
      <c r="H667" s="9" t="s">
        <v>1267</v>
      </c>
      <c r="I667" s="97"/>
      <c r="J667" s="97"/>
      <c r="K667" s="97"/>
      <c r="L667" s="97"/>
      <c r="M667" s="97"/>
      <c r="N667" s="97"/>
      <c r="O667" s="97"/>
      <c r="P667" s="97"/>
      <c r="Q667" s="97">
        <f t="shared" ref="Q667:Y667" si="106">Q$678+Q684+Q697+Q722*(SUM(Q$708,Q$710)*Q$711+Q$713*Q$714+Q$715*Q$716+Q$717*Q$718)+Q735+Q748+Q761+Q774</f>
        <v>40366.2662530171</v>
      </c>
      <c r="R667" s="97">
        <f t="shared" si="106"/>
        <v>40026.253617131624</v>
      </c>
      <c r="S667" s="97">
        <f t="shared" si="106"/>
        <v>41660.215871554588</v>
      </c>
      <c r="T667" s="97">
        <f t="shared" si="106"/>
        <v>43142.624399497385</v>
      </c>
      <c r="U667" s="97">
        <f t="shared" si="106"/>
        <v>46236.2413841163</v>
      </c>
      <c r="V667" s="97">
        <f t="shared" si="106"/>
        <v>44826.175148449409</v>
      </c>
      <c r="W667" s="97">
        <f t="shared" si="106"/>
        <v>47039.702474365164</v>
      </c>
      <c r="X667" s="97">
        <f t="shared" si="106"/>
        <v>46911.688853660999</v>
      </c>
      <c r="Y667" s="97">
        <f t="shared" si="106"/>
        <v>46797.809909758624</v>
      </c>
      <c r="Z667" s="97">
        <f t="shared" si="104"/>
        <v>48932.184046910355</v>
      </c>
      <c r="AA667" s="97" t="e">
        <f t="shared" ref="AA667:AK667" si="107">AA$678+AA684+AA697+AA722*(AA$713*AA$714+AA$715*AA$716+AA$717*AA$718)+AA735+AA748+AA761+AA774</f>
        <v>#DIV/0!</v>
      </c>
      <c r="AB667" s="97" t="e">
        <f t="shared" si="107"/>
        <v>#DIV/0!</v>
      </c>
      <c r="AC667" s="97" t="e">
        <f t="shared" si="107"/>
        <v>#DIV/0!</v>
      </c>
      <c r="AD667" s="97" t="e">
        <f t="shared" si="107"/>
        <v>#DIV/0!</v>
      </c>
      <c r="AE667" s="97" t="e">
        <f t="shared" si="107"/>
        <v>#DIV/0!</v>
      </c>
      <c r="AF667" s="97" t="e">
        <f t="shared" si="107"/>
        <v>#DIV/0!</v>
      </c>
      <c r="AG667" s="97" t="e">
        <f t="shared" si="107"/>
        <v>#DIV/0!</v>
      </c>
      <c r="AH667" s="97" t="e">
        <f t="shared" si="107"/>
        <v>#DIV/0!</v>
      </c>
      <c r="AI667" s="97" t="e">
        <f t="shared" si="107"/>
        <v>#DIV/0!</v>
      </c>
      <c r="AJ667" s="97" t="e">
        <f t="shared" si="107"/>
        <v>#DIV/0!</v>
      </c>
      <c r="AK667" s="97" t="e">
        <f t="shared" si="107"/>
        <v>#DIV/0!</v>
      </c>
    </row>
    <row r="668" spans="2:37" s="9" customFormat="1" x14ac:dyDescent="0.25">
      <c r="B668" s="66"/>
      <c r="C668" s="51"/>
      <c r="D668" s="9" t="s">
        <v>317</v>
      </c>
      <c r="H668" s="9" t="s">
        <v>1267</v>
      </c>
      <c r="I668" s="97"/>
      <c r="J668" s="97"/>
      <c r="K668" s="97"/>
      <c r="L668" s="97"/>
      <c r="M668" s="97"/>
      <c r="N668" s="97"/>
      <c r="O668" s="97"/>
      <c r="P668" s="97"/>
      <c r="Q668" s="97">
        <f t="shared" ref="Q668:Y668" si="108">Q$678+Q685+Q698+Q723*(SUM(Q$708,Q$710)*Q$711+Q$713*Q$714+Q$715*Q$716+Q$717*Q$718)+Q736+Q749+Q762+Q775</f>
        <v>31066.295970431871</v>
      </c>
      <c r="R668" s="97">
        <f t="shared" si="108"/>
        <v>29967.282347735567</v>
      </c>
      <c r="S668" s="97">
        <f t="shared" si="108"/>
        <v>32482.525595939031</v>
      </c>
      <c r="T668" s="97">
        <f t="shared" si="108"/>
        <v>32771.116448848028</v>
      </c>
      <c r="U668" s="97">
        <f t="shared" si="108"/>
        <v>32328.820034147924</v>
      </c>
      <c r="V668" s="97">
        <f t="shared" si="108"/>
        <v>33593.956164365256</v>
      </c>
      <c r="W668" s="97">
        <f t="shared" si="108"/>
        <v>33791.384627453153</v>
      </c>
      <c r="X668" s="97">
        <f t="shared" si="108"/>
        <v>33908.833043028288</v>
      </c>
      <c r="Y668" s="97">
        <f t="shared" si="108"/>
        <v>35501.763703192708</v>
      </c>
      <c r="Z668" s="97">
        <f t="shared" si="104"/>
        <v>35888.70870984967</v>
      </c>
      <c r="AA668" s="97" t="e">
        <f t="shared" ref="AA668:AK668" si="109">AA$678+AA685+AA698+AA723*(AA$713*AA$714+AA$715*AA$716+AA$717*AA$718)+AA736+AA749+AA762+AA775</f>
        <v>#DIV/0!</v>
      </c>
      <c r="AB668" s="97" t="e">
        <f t="shared" si="109"/>
        <v>#DIV/0!</v>
      </c>
      <c r="AC668" s="97" t="e">
        <f t="shared" si="109"/>
        <v>#DIV/0!</v>
      </c>
      <c r="AD668" s="97" t="e">
        <f t="shared" si="109"/>
        <v>#DIV/0!</v>
      </c>
      <c r="AE668" s="97" t="e">
        <f t="shared" si="109"/>
        <v>#DIV/0!</v>
      </c>
      <c r="AF668" s="97" t="e">
        <f t="shared" si="109"/>
        <v>#DIV/0!</v>
      </c>
      <c r="AG668" s="97" t="e">
        <f t="shared" si="109"/>
        <v>#DIV/0!</v>
      </c>
      <c r="AH668" s="97" t="e">
        <f t="shared" si="109"/>
        <v>#DIV/0!</v>
      </c>
      <c r="AI668" s="97" t="e">
        <f t="shared" si="109"/>
        <v>#DIV/0!</v>
      </c>
      <c r="AJ668" s="97" t="e">
        <f t="shared" si="109"/>
        <v>#DIV/0!</v>
      </c>
      <c r="AK668" s="97" t="e">
        <f t="shared" si="109"/>
        <v>#DIV/0!</v>
      </c>
    </row>
    <row r="669" spans="2:37" s="9" customFormat="1" x14ac:dyDescent="0.25">
      <c r="B669" s="66"/>
      <c r="C669" s="51"/>
      <c r="D669" s="9" t="s">
        <v>318</v>
      </c>
      <c r="H669" s="9" t="s">
        <v>1267</v>
      </c>
      <c r="I669" s="97"/>
      <c r="J669" s="97"/>
      <c r="K669" s="97"/>
      <c r="L669" s="97"/>
      <c r="M669" s="97"/>
      <c r="N669" s="97"/>
      <c r="O669" s="97"/>
      <c r="P669" s="97"/>
      <c r="Q669" s="97">
        <f t="shared" ref="Q669:Y669" si="110">Q$678+Q686+Q699+Q724*(SUM(Q$708,Q$710)*Q$711+Q$713*Q$714+Q$715*Q$716+Q$717*Q$718)+Q737+Q750+Q763+Q776</f>
        <v>38686.345577203414</v>
      </c>
      <c r="R669" s="97">
        <f t="shared" si="110"/>
        <v>38230.194707477851</v>
      </c>
      <c r="S669" s="97">
        <f t="shared" si="110"/>
        <v>39870.144450333333</v>
      </c>
      <c r="T669" s="97">
        <f t="shared" si="110"/>
        <v>39277.654589963669</v>
      </c>
      <c r="U669" s="97">
        <f t="shared" si="110"/>
        <v>43600.21527696892</v>
      </c>
      <c r="V669" s="97">
        <f t="shared" si="110"/>
        <v>44518.989656773301</v>
      </c>
      <c r="W669" s="97">
        <f t="shared" si="110"/>
        <v>47823.623507007513</v>
      </c>
      <c r="X669" s="97">
        <f t="shared" si="110"/>
        <v>47379.546952134384</v>
      </c>
      <c r="Y669" s="97">
        <f t="shared" si="110"/>
        <v>47465.126450349962</v>
      </c>
      <c r="Z669" s="97">
        <f t="shared" si="104"/>
        <v>46968.678505192533</v>
      </c>
      <c r="AA669" s="97" t="e">
        <f t="shared" ref="AA669:AK669" si="111">AA$678+AA686+AA699+AA724*(AA$713*AA$714+AA$715*AA$716+AA$717*AA$718)+AA737+AA750+AA763+AA776</f>
        <v>#DIV/0!</v>
      </c>
      <c r="AB669" s="97" t="e">
        <f t="shared" si="111"/>
        <v>#DIV/0!</v>
      </c>
      <c r="AC669" s="97" t="e">
        <f t="shared" si="111"/>
        <v>#DIV/0!</v>
      </c>
      <c r="AD669" s="97" t="e">
        <f t="shared" si="111"/>
        <v>#DIV/0!</v>
      </c>
      <c r="AE669" s="97" t="e">
        <f t="shared" si="111"/>
        <v>#DIV/0!</v>
      </c>
      <c r="AF669" s="97" t="e">
        <f t="shared" si="111"/>
        <v>#DIV/0!</v>
      </c>
      <c r="AG669" s="97" t="e">
        <f t="shared" si="111"/>
        <v>#DIV/0!</v>
      </c>
      <c r="AH669" s="97" t="e">
        <f t="shared" si="111"/>
        <v>#DIV/0!</v>
      </c>
      <c r="AI669" s="97" t="e">
        <f t="shared" si="111"/>
        <v>#DIV/0!</v>
      </c>
      <c r="AJ669" s="97" t="e">
        <f t="shared" si="111"/>
        <v>#DIV/0!</v>
      </c>
      <c r="AK669" s="97" t="e">
        <f t="shared" si="111"/>
        <v>#DIV/0!</v>
      </c>
    </row>
    <row r="670" spans="2:37" s="9" customFormat="1" x14ac:dyDescent="0.25">
      <c r="B670" s="66"/>
      <c r="C670" s="51"/>
      <c r="D670" s="9" t="s">
        <v>319</v>
      </c>
      <c r="H670" s="9" t="s">
        <v>1267</v>
      </c>
      <c r="I670" s="97"/>
      <c r="J670" s="97"/>
      <c r="K670" s="97"/>
      <c r="L670" s="97"/>
      <c r="M670" s="97"/>
      <c r="N670" s="97"/>
      <c r="O670" s="97"/>
      <c r="P670" s="97"/>
      <c r="Q670" s="97">
        <f t="shared" ref="Q670:Y670" si="112">Q$678+Q687+Q700+Q725*(SUM(Q$708,Q$710)*Q$711+Q$713*Q$714+Q$715*Q$716+Q$717*Q$718)+Q738+Q751+Q764+Q777</f>
        <v>59577.047339888086</v>
      </c>
      <c r="R670" s="97">
        <f t="shared" si="112"/>
        <v>56287.811672913769</v>
      </c>
      <c r="S670" s="97">
        <f t="shared" si="112"/>
        <v>60328.326807571619</v>
      </c>
      <c r="T670" s="97">
        <f t="shared" si="112"/>
        <v>60599.375807372497</v>
      </c>
      <c r="U670" s="97">
        <f t="shared" si="112"/>
        <v>63523.757043212543</v>
      </c>
      <c r="V670" s="97">
        <f t="shared" si="112"/>
        <v>65336.760623109243</v>
      </c>
      <c r="W670" s="97">
        <f t="shared" si="112"/>
        <v>67360.660014194684</v>
      </c>
      <c r="X670" s="97">
        <f t="shared" si="112"/>
        <v>66469.904573423817</v>
      </c>
      <c r="Y670" s="97">
        <f t="shared" si="112"/>
        <v>64528.288370994858</v>
      </c>
      <c r="Z670" s="97">
        <f t="shared" si="104"/>
        <v>64639.374936604967</v>
      </c>
      <c r="AA670" s="97" t="e">
        <f t="shared" ref="AA670:AK670" si="113">AA$678+AA687+AA700+AA725*(AA$713*AA$714+AA$715*AA$716+AA$717*AA$718)+AA738+AA751+AA764+AA777</f>
        <v>#DIV/0!</v>
      </c>
      <c r="AB670" s="97" t="e">
        <f t="shared" si="113"/>
        <v>#DIV/0!</v>
      </c>
      <c r="AC670" s="97" t="e">
        <f t="shared" si="113"/>
        <v>#DIV/0!</v>
      </c>
      <c r="AD670" s="97" t="e">
        <f t="shared" si="113"/>
        <v>#DIV/0!</v>
      </c>
      <c r="AE670" s="97" t="e">
        <f t="shared" si="113"/>
        <v>#DIV/0!</v>
      </c>
      <c r="AF670" s="97" t="e">
        <f t="shared" si="113"/>
        <v>#DIV/0!</v>
      </c>
      <c r="AG670" s="97" t="e">
        <f t="shared" si="113"/>
        <v>#DIV/0!</v>
      </c>
      <c r="AH670" s="97" t="e">
        <f t="shared" si="113"/>
        <v>#DIV/0!</v>
      </c>
      <c r="AI670" s="97" t="e">
        <f t="shared" si="113"/>
        <v>#DIV/0!</v>
      </c>
      <c r="AJ670" s="97" t="e">
        <f t="shared" si="113"/>
        <v>#DIV/0!</v>
      </c>
      <c r="AK670" s="97" t="e">
        <f t="shared" si="113"/>
        <v>#DIV/0!</v>
      </c>
    </row>
    <row r="671" spans="2:37" s="9" customFormat="1" x14ac:dyDescent="0.25">
      <c r="B671" s="66"/>
      <c r="C671" s="51"/>
      <c r="D671" s="9" t="s">
        <v>320</v>
      </c>
      <c r="H671" s="9" t="s">
        <v>1267</v>
      </c>
      <c r="I671" s="97"/>
      <c r="J671" s="97"/>
      <c r="K671" s="97"/>
      <c r="L671" s="97"/>
      <c r="M671" s="97"/>
      <c r="N671" s="97"/>
      <c r="O671" s="97"/>
      <c r="P671" s="97"/>
      <c r="Q671" s="97">
        <f t="shared" ref="Q671:Y671" si="114">Q$678+Q688+Q701+Q726*(SUM(Q$708,Q$710)*Q$711+Q$713*Q$714+Q$715*Q$716+Q$717*Q$718)+Q739+Q752+Q765+Q778</f>
        <v>66909.222990737806</v>
      </c>
      <c r="R671" s="97">
        <f t="shared" si="114"/>
        <v>67073.083961969533</v>
      </c>
      <c r="S671" s="97">
        <f t="shared" si="114"/>
        <v>67974.264503915852</v>
      </c>
      <c r="T671" s="97">
        <f t="shared" si="114"/>
        <v>66877.249503510742</v>
      </c>
      <c r="U671" s="97">
        <f t="shared" si="114"/>
        <v>69427.29245409173</v>
      </c>
      <c r="V671" s="97">
        <f t="shared" si="114"/>
        <v>69492.313970678588</v>
      </c>
      <c r="W671" s="97">
        <f t="shared" si="114"/>
        <v>71497.734351523803</v>
      </c>
      <c r="X671" s="97">
        <f t="shared" si="114"/>
        <v>70436.458775484614</v>
      </c>
      <c r="Y671" s="97">
        <f t="shared" si="114"/>
        <v>68583.115370267973</v>
      </c>
      <c r="Z671" s="97">
        <f t="shared" si="104"/>
        <v>68369.648814571876</v>
      </c>
      <c r="AA671" s="97" t="e">
        <f t="shared" ref="AA671:AK671" si="115">AA$678+AA688+AA701+AA726*(AA$713*AA$714+AA$715*AA$716+AA$717*AA$718)+AA739+AA752+AA765+AA778</f>
        <v>#DIV/0!</v>
      </c>
      <c r="AB671" s="97" t="e">
        <f t="shared" si="115"/>
        <v>#DIV/0!</v>
      </c>
      <c r="AC671" s="97" t="e">
        <f t="shared" si="115"/>
        <v>#DIV/0!</v>
      </c>
      <c r="AD671" s="97" t="e">
        <f t="shared" si="115"/>
        <v>#DIV/0!</v>
      </c>
      <c r="AE671" s="97" t="e">
        <f t="shared" si="115"/>
        <v>#DIV/0!</v>
      </c>
      <c r="AF671" s="97" t="e">
        <f t="shared" si="115"/>
        <v>#DIV/0!</v>
      </c>
      <c r="AG671" s="97" t="e">
        <f t="shared" si="115"/>
        <v>#DIV/0!</v>
      </c>
      <c r="AH671" s="97" t="e">
        <f t="shared" si="115"/>
        <v>#DIV/0!</v>
      </c>
      <c r="AI671" s="97" t="e">
        <f t="shared" si="115"/>
        <v>#DIV/0!</v>
      </c>
      <c r="AJ671" s="97" t="e">
        <f t="shared" si="115"/>
        <v>#DIV/0!</v>
      </c>
      <c r="AK671" s="97" t="e">
        <f t="shared" si="115"/>
        <v>#DIV/0!</v>
      </c>
    </row>
    <row r="672" spans="2:37" s="9" customFormat="1" x14ac:dyDescent="0.25">
      <c r="B672" s="66"/>
      <c r="C672" s="51"/>
      <c r="D672" s="9" t="s">
        <v>321</v>
      </c>
      <c r="H672" s="9" t="s">
        <v>1267</v>
      </c>
      <c r="I672" s="97"/>
      <c r="J672" s="97"/>
      <c r="K672" s="97"/>
      <c r="L672" s="97"/>
      <c r="M672" s="97"/>
      <c r="N672" s="97"/>
      <c r="O672" s="97"/>
      <c r="P672" s="97"/>
      <c r="Q672" s="97">
        <f t="shared" ref="Q672:Y672" si="116">Q$678+Q689+Q702+Q727*(SUM(Q$708,Q$710)*Q$711+Q$713*Q$714+Q$715*Q$716+Q$717*Q$718)+Q740+Q753+Q766+Q779</f>
        <v>65211.679147975527</v>
      </c>
      <c r="R672" s="97">
        <f t="shared" si="116"/>
        <v>65830.388354103226</v>
      </c>
      <c r="S672" s="97">
        <f t="shared" si="116"/>
        <v>66233.691323681589</v>
      </c>
      <c r="T672" s="97">
        <f t="shared" si="116"/>
        <v>65704.035334338318</v>
      </c>
      <c r="U672" s="97">
        <f t="shared" si="116"/>
        <v>68222.479890840637</v>
      </c>
      <c r="V672" s="97">
        <f t="shared" si="116"/>
        <v>67309.81658648634</v>
      </c>
      <c r="W672" s="97">
        <f t="shared" si="116"/>
        <v>69091.325188866133</v>
      </c>
      <c r="X672" s="97">
        <f t="shared" si="116"/>
        <v>70361.449155380615</v>
      </c>
      <c r="Y672" s="97">
        <f t="shared" si="116"/>
        <v>67171.51111833597</v>
      </c>
      <c r="Z672" s="97">
        <f t="shared" si="104"/>
        <v>67887.510486743413</v>
      </c>
      <c r="AA672" s="97" t="e">
        <f t="shared" ref="AA672:AK672" si="117">AA$678+AA689+AA702+AA727*(AA$713*AA$714+AA$715*AA$716+AA$717*AA$718)+AA740+AA753+AA766+AA779</f>
        <v>#DIV/0!</v>
      </c>
      <c r="AB672" s="97" t="e">
        <f t="shared" si="117"/>
        <v>#DIV/0!</v>
      </c>
      <c r="AC672" s="97" t="e">
        <f t="shared" si="117"/>
        <v>#DIV/0!</v>
      </c>
      <c r="AD672" s="97" t="e">
        <f t="shared" si="117"/>
        <v>#DIV/0!</v>
      </c>
      <c r="AE672" s="97" t="e">
        <f t="shared" si="117"/>
        <v>#DIV/0!</v>
      </c>
      <c r="AF672" s="97" t="e">
        <f t="shared" si="117"/>
        <v>#DIV/0!</v>
      </c>
      <c r="AG672" s="97" t="e">
        <f t="shared" si="117"/>
        <v>#DIV/0!</v>
      </c>
      <c r="AH672" s="97" t="e">
        <f t="shared" si="117"/>
        <v>#DIV/0!</v>
      </c>
      <c r="AI672" s="97" t="e">
        <f t="shared" si="117"/>
        <v>#DIV/0!</v>
      </c>
      <c r="AJ672" s="97" t="e">
        <f t="shared" si="117"/>
        <v>#DIV/0!</v>
      </c>
      <c r="AK672" s="97" t="e">
        <f t="shared" si="117"/>
        <v>#DIV/0!</v>
      </c>
    </row>
    <row r="673" spans="1:37" s="9" customFormat="1" x14ac:dyDescent="0.25">
      <c r="B673" s="66"/>
      <c r="C673" s="51"/>
      <c r="D673" s="9" t="s">
        <v>322</v>
      </c>
      <c r="H673" s="9" t="s">
        <v>1267</v>
      </c>
      <c r="I673" s="97"/>
      <c r="J673" s="97"/>
      <c r="K673" s="97"/>
      <c r="L673" s="97"/>
      <c r="M673" s="97"/>
      <c r="N673" s="97"/>
      <c r="O673" s="97"/>
      <c r="P673" s="97"/>
      <c r="Q673" s="97">
        <f t="shared" ref="Q673:Y673" si="118">Q$678+Q690+Q703+Q728*(SUM(Q$708,Q$710)*Q$711+Q$713*Q$714+Q$715*Q$716+Q$717*Q$718)+Q741+Q754+Q767+Q780</f>
        <v>59060.454252582058</v>
      </c>
      <c r="R673" s="97">
        <f t="shared" si="118"/>
        <v>60421.608616825826</v>
      </c>
      <c r="S673" s="97">
        <f t="shared" si="118"/>
        <v>60222.566739674148</v>
      </c>
      <c r="T673" s="97">
        <f t="shared" si="118"/>
        <v>61102.519844256312</v>
      </c>
      <c r="U673" s="97">
        <f t="shared" si="118"/>
        <v>60704.946751055679</v>
      </c>
      <c r="V673" s="97">
        <f t="shared" si="118"/>
        <v>63304.211032182699</v>
      </c>
      <c r="W673" s="97">
        <f t="shared" si="118"/>
        <v>60833.916527993468</v>
      </c>
      <c r="X673" s="97">
        <f t="shared" si="118"/>
        <v>63901.978806755855</v>
      </c>
      <c r="Y673" s="97">
        <f t="shared" si="118"/>
        <v>63638.33928139614</v>
      </c>
      <c r="Z673" s="97">
        <f t="shared" si="104"/>
        <v>63623.048528438791</v>
      </c>
      <c r="AA673" s="97" t="e">
        <f t="shared" ref="AA673:AK673" si="119">AA$678+AA690+AA703+AA728*(AA$713*AA$714+AA$715*AA$716+AA$717*AA$718)+AA741+AA754+AA767+AA780</f>
        <v>#DIV/0!</v>
      </c>
      <c r="AB673" s="97" t="e">
        <f t="shared" si="119"/>
        <v>#DIV/0!</v>
      </c>
      <c r="AC673" s="97" t="e">
        <f t="shared" si="119"/>
        <v>#DIV/0!</v>
      </c>
      <c r="AD673" s="97" t="e">
        <f t="shared" si="119"/>
        <v>#DIV/0!</v>
      </c>
      <c r="AE673" s="97" t="e">
        <f t="shared" si="119"/>
        <v>#DIV/0!</v>
      </c>
      <c r="AF673" s="97" t="e">
        <f t="shared" si="119"/>
        <v>#DIV/0!</v>
      </c>
      <c r="AG673" s="97" t="e">
        <f t="shared" si="119"/>
        <v>#DIV/0!</v>
      </c>
      <c r="AH673" s="97" t="e">
        <f t="shared" si="119"/>
        <v>#DIV/0!</v>
      </c>
      <c r="AI673" s="97" t="e">
        <f t="shared" si="119"/>
        <v>#DIV/0!</v>
      </c>
      <c r="AJ673" s="97" t="e">
        <f t="shared" si="119"/>
        <v>#DIV/0!</v>
      </c>
      <c r="AK673" s="97" t="e">
        <f t="shared" si="119"/>
        <v>#DIV/0!</v>
      </c>
    </row>
    <row r="674" spans="1:37" s="9" customFormat="1" x14ac:dyDescent="0.25">
      <c r="B674" s="66"/>
      <c r="C674" s="51"/>
      <c r="D674" s="9" t="s">
        <v>323</v>
      </c>
      <c r="H674" s="9" t="s">
        <v>1267</v>
      </c>
      <c r="I674" s="97"/>
      <c r="J674" s="97"/>
      <c r="K674" s="97"/>
      <c r="L674" s="97"/>
      <c r="M674" s="97"/>
      <c r="N674" s="97"/>
      <c r="O674" s="97"/>
      <c r="P674" s="97"/>
      <c r="Q674" s="97">
        <f t="shared" ref="Q674:Y674" si="120">Q$678+Q691+Q704+Q729*(SUM(Q$708,Q$710)*Q$711+Q$713*Q$714+Q$715*Q$716+Q$717*Q$718)+Q742+Q755+Q768+Q781</f>
        <v>39333.443401489225</v>
      </c>
      <c r="R674" s="97">
        <f t="shared" si="120"/>
        <v>39299.88631515322</v>
      </c>
      <c r="S674" s="97">
        <f t="shared" si="120"/>
        <v>40434.651452420578</v>
      </c>
      <c r="T674" s="97">
        <f t="shared" si="120"/>
        <v>39427.652028972967</v>
      </c>
      <c r="U674" s="97">
        <f t="shared" si="120"/>
        <v>43694.624901004347</v>
      </c>
      <c r="V674" s="97">
        <f t="shared" si="120"/>
        <v>43187.955987520276</v>
      </c>
      <c r="W674" s="97">
        <f t="shared" si="120"/>
        <v>44574.126946158183</v>
      </c>
      <c r="X674" s="97">
        <f t="shared" si="120"/>
        <v>45386.610971428767</v>
      </c>
      <c r="Y674" s="97">
        <f t="shared" si="120"/>
        <v>44904.107367162986</v>
      </c>
      <c r="Z674" s="97">
        <f t="shared" si="104"/>
        <v>46331.061757665913</v>
      </c>
      <c r="AA674" s="97" t="e">
        <f t="shared" ref="AA674:AK674" si="121">AA$678+AA691+AA704+AA729*(AA$713*AA$714+AA$715*AA$716+AA$717*AA$718)+AA742+AA755+AA768+AA781</f>
        <v>#DIV/0!</v>
      </c>
      <c r="AB674" s="97" t="e">
        <f t="shared" si="121"/>
        <v>#DIV/0!</v>
      </c>
      <c r="AC674" s="97" t="e">
        <f t="shared" si="121"/>
        <v>#DIV/0!</v>
      </c>
      <c r="AD674" s="97" t="e">
        <f t="shared" si="121"/>
        <v>#DIV/0!</v>
      </c>
      <c r="AE674" s="97" t="e">
        <f t="shared" si="121"/>
        <v>#DIV/0!</v>
      </c>
      <c r="AF674" s="97" t="e">
        <f t="shared" si="121"/>
        <v>#DIV/0!</v>
      </c>
      <c r="AG674" s="97" t="e">
        <f t="shared" si="121"/>
        <v>#DIV/0!</v>
      </c>
      <c r="AH674" s="97" t="e">
        <f t="shared" si="121"/>
        <v>#DIV/0!</v>
      </c>
      <c r="AI674" s="97" t="e">
        <f t="shared" si="121"/>
        <v>#DIV/0!</v>
      </c>
      <c r="AJ674" s="97" t="e">
        <f t="shared" si="121"/>
        <v>#DIV/0!</v>
      </c>
      <c r="AK674" s="97" t="e">
        <f t="shared" si="121"/>
        <v>#DIV/0!</v>
      </c>
    </row>
    <row r="675" spans="1:37" s="9" customFormat="1" x14ac:dyDescent="0.25">
      <c r="B675" s="66"/>
      <c r="C675" s="51"/>
      <c r="D675" s="9" t="s">
        <v>324</v>
      </c>
      <c r="H675" s="9" t="s">
        <v>1267</v>
      </c>
      <c r="I675" s="97"/>
      <c r="J675" s="97"/>
      <c r="K675" s="97"/>
      <c r="L675" s="97"/>
      <c r="M675" s="97"/>
      <c r="N675" s="97"/>
      <c r="O675" s="97"/>
      <c r="P675" s="97"/>
      <c r="Q675" s="97">
        <f t="shared" ref="Q675:Y675" si="122">Q$678+Q692+Q705+Q730*(SUM(Q$708,Q$710)*Q$711+Q$713*Q$714+Q$715*Q$716+Q$717*Q$718)+Q743+Q756+Q769+Q782</f>
        <v>30411.069720759042</v>
      </c>
      <c r="R675" s="97">
        <f t="shared" si="122"/>
        <v>30126.123505477019</v>
      </c>
      <c r="S675" s="97">
        <f t="shared" si="122"/>
        <v>32338.561702110619</v>
      </c>
      <c r="T675" s="97">
        <f t="shared" si="122"/>
        <v>32154.490071337092</v>
      </c>
      <c r="U675" s="97">
        <f t="shared" si="122"/>
        <v>32679.990126304794</v>
      </c>
      <c r="V675" s="97">
        <f t="shared" si="122"/>
        <v>33352.499778005207</v>
      </c>
      <c r="W675" s="97">
        <f t="shared" si="122"/>
        <v>33452.642662022176</v>
      </c>
      <c r="X675" s="97">
        <f t="shared" si="122"/>
        <v>34084.755545211847</v>
      </c>
      <c r="Y675" s="97">
        <f t="shared" si="122"/>
        <v>34445.928433379719</v>
      </c>
      <c r="Z675" s="97">
        <f t="shared" si="104"/>
        <v>34153.076760487274</v>
      </c>
      <c r="AA675" s="97" t="e">
        <f t="shared" ref="AA675:AK675" si="123">AA$678+AA692+AA705+AA730*(AA$713*AA$714+AA$715*AA$716+AA$717*AA$718)+AA743+AA756+AA769+AA782</f>
        <v>#DIV/0!</v>
      </c>
      <c r="AB675" s="97" t="e">
        <f t="shared" si="123"/>
        <v>#DIV/0!</v>
      </c>
      <c r="AC675" s="97" t="e">
        <f t="shared" si="123"/>
        <v>#DIV/0!</v>
      </c>
      <c r="AD675" s="97" t="e">
        <f t="shared" si="123"/>
        <v>#DIV/0!</v>
      </c>
      <c r="AE675" s="97" t="e">
        <f t="shared" si="123"/>
        <v>#DIV/0!</v>
      </c>
      <c r="AF675" s="97" t="e">
        <f t="shared" si="123"/>
        <v>#DIV/0!</v>
      </c>
      <c r="AG675" s="97" t="e">
        <f t="shared" si="123"/>
        <v>#DIV/0!</v>
      </c>
      <c r="AH675" s="97" t="e">
        <f t="shared" si="123"/>
        <v>#DIV/0!</v>
      </c>
      <c r="AI675" s="97" t="e">
        <f t="shared" si="123"/>
        <v>#DIV/0!</v>
      </c>
      <c r="AJ675" s="97" t="e">
        <f t="shared" si="123"/>
        <v>#DIV/0!</v>
      </c>
      <c r="AK675" s="97" t="e">
        <f t="shared" si="123"/>
        <v>#DIV/0!</v>
      </c>
    </row>
    <row r="676" spans="1:37" s="9" customFormat="1" x14ac:dyDescent="0.25">
      <c r="B676" s="66"/>
      <c r="C676" s="51"/>
      <c r="D676" s="9" t="s">
        <v>325</v>
      </c>
      <c r="H676" s="9" t="s">
        <v>1267</v>
      </c>
      <c r="I676" s="97"/>
      <c r="J676" s="97"/>
      <c r="K676" s="97"/>
      <c r="L676" s="97"/>
      <c r="M676" s="97"/>
      <c r="N676" s="97"/>
      <c r="O676" s="97"/>
      <c r="P676" s="97"/>
      <c r="Q676" s="97">
        <f t="shared" ref="Q676:Y676" si="124">Q$678+Q693+Q706+Q731*(SUM(Q$708,Q$710)*Q$711+Q$713*Q$714+Q$715*Q$716+Q$717*Q$718)+Q744+Q757+Q770+Q783</f>
        <v>36667.450884935039</v>
      </c>
      <c r="R676" s="97">
        <f t="shared" si="124"/>
        <v>37269.95215104441</v>
      </c>
      <c r="S676" s="97">
        <f t="shared" si="124"/>
        <v>38058.219705843745</v>
      </c>
      <c r="T676" s="97">
        <f t="shared" si="124"/>
        <v>39544.358435028247</v>
      </c>
      <c r="U676" s="97">
        <f t="shared" si="124"/>
        <v>42915.847382851287</v>
      </c>
      <c r="V676" s="97">
        <f t="shared" si="124"/>
        <v>42645.738700180482</v>
      </c>
      <c r="W676" s="97">
        <f t="shared" si="124"/>
        <v>44274.234359765571</v>
      </c>
      <c r="X676" s="97">
        <f t="shared" si="124"/>
        <v>44261.762668337418</v>
      </c>
      <c r="Y676" s="97">
        <f t="shared" si="124"/>
        <v>43418.24450012028</v>
      </c>
      <c r="Z676" s="97">
        <f t="shared" si="104"/>
        <v>43655.105163383676</v>
      </c>
      <c r="AA676" s="97" t="e">
        <f t="shared" ref="AA676:AK676" si="125">AA$678+AA693+AA706+AA731*(AA$713*AA$714+AA$715*AA$716+AA$717*AA$718)+AA744+AA757+AA770+AA783</f>
        <v>#DIV/0!</v>
      </c>
      <c r="AB676" s="97" t="e">
        <f t="shared" si="125"/>
        <v>#DIV/0!</v>
      </c>
      <c r="AC676" s="97" t="e">
        <f t="shared" si="125"/>
        <v>#DIV/0!</v>
      </c>
      <c r="AD676" s="97" t="e">
        <f t="shared" si="125"/>
        <v>#DIV/0!</v>
      </c>
      <c r="AE676" s="97" t="e">
        <f t="shared" si="125"/>
        <v>#DIV/0!</v>
      </c>
      <c r="AF676" s="97" t="e">
        <f t="shared" si="125"/>
        <v>#DIV/0!</v>
      </c>
      <c r="AG676" s="97" t="e">
        <f t="shared" si="125"/>
        <v>#DIV/0!</v>
      </c>
      <c r="AH676" s="97" t="e">
        <f t="shared" si="125"/>
        <v>#DIV/0!</v>
      </c>
      <c r="AI676" s="97" t="e">
        <f t="shared" si="125"/>
        <v>#DIV/0!</v>
      </c>
      <c r="AJ676" s="97" t="e">
        <f t="shared" si="125"/>
        <v>#DIV/0!</v>
      </c>
      <c r="AK676" s="97" t="e">
        <f t="shared" si="125"/>
        <v>#DIV/0!</v>
      </c>
    </row>
    <row r="677" spans="1:37" s="178" customFormat="1" x14ac:dyDescent="0.25">
      <c r="B677" s="179"/>
      <c r="C677" s="180" t="s">
        <v>492</v>
      </c>
      <c r="I677" s="181"/>
      <c r="J677" s="181"/>
      <c r="K677" s="181"/>
      <c r="L677" s="181"/>
      <c r="M677" s="181"/>
      <c r="N677" s="181"/>
      <c r="O677" s="181"/>
      <c r="P677" s="181"/>
      <c r="Q677" s="181"/>
      <c r="R677" s="181"/>
      <c r="S677" s="181"/>
      <c r="T677" s="181"/>
      <c r="U677" s="181"/>
      <c r="V677" s="181"/>
      <c r="W677" s="181"/>
      <c r="X677" s="181"/>
      <c r="Y677" s="181"/>
      <c r="Z677" s="181"/>
      <c r="AA677" s="181"/>
      <c r="AB677" s="181"/>
      <c r="AC677" s="181"/>
      <c r="AD677" s="181"/>
      <c r="AE677" s="181"/>
      <c r="AF677" s="181"/>
      <c r="AG677" s="181"/>
      <c r="AH677" s="181"/>
      <c r="AI677" s="181"/>
      <c r="AJ677" s="181"/>
      <c r="AK677" s="181"/>
    </row>
    <row r="678" spans="1:37" s="109" customFormat="1" x14ac:dyDescent="0.25">
      <c r="D678" s="109" t="s">
        <v>468</v>
      </c>
      <c r="H678" s="109" t="s">
        <v>1267</v>
      </c>
      <c r="I678" s="111">
        <f>I679*(1-I680)</f>
        <v>17895.149999999998</v>
      </c>
      <c r="J678" s="111">
        <f t="shared" ref="J678:AK678" si="126">J679*(1-J680)</f>
        <v>18112.7</v>
      </c>
      <c r="K678" s="111">
        <f t="shared" si="126"/>
        <v>18493.649999999998</v>
      </c>
      <c r="L678" s="111">
        <f t="shared" si="126"/>
        <v>18650.399999999998</v>
      </c>
      <c r="M678" s="111">
        <f t="shared" si="126"/>
        <v>19013.3</v>
      </c>
      <c r="N678" s="111">
        <f t="shared" si="126"/>
        <v>19448.399999999998</v>
      </c>
      <c r="O678" s="111">
        <f t="shared" si="126"/>
        <v>19938.599999999999</v>
      </c>
      <c r="P678" s="111">
        <f t="shared" si="126"/>
        <v>20170.399999999998</v>
      </c>
      <c r="Q678" s="111">
        <f t="shared" si="126"/>
        <v>20231.2</v>
      </c>
      <c r="R678" s="111">
        <f t="shared" si="126"/>
        <v>20343.3</v>
      </c>
      <c r="S678" s="111">
        <f t="shared" si="126"/>
        <v>20542.8</v>
      </c>
      <c r="T678" s="111">
        <f t="shared" si="126"/>
        <v>21199.25</v>
      </c>
      <c r="U678" s="111">
        <f t="shared" si="126"/>
        <v>21634.35</v>
      </c>
      <c r="V678" s="111">
        <f t="shared" si="126"/>
        <v>21894.649999999998</v>
      </c>
      <c r="W678" s="111">
        <f t="shared" si="126"/>
        <v>22072.3</v>
      </c>
      <c r="X678" s="111">
        <f t="shared" si="126"/>
        <v>22214.799999999999</v>
      </c>
      <c r="Y678" s="111">
        <f t="shared" si="126"/>
        <v>22105.55</v>
      </c>
      <c r="Z678" s="111">
        <f t="shared" si="126"/>
        <v>22290.799999999999</v>
      </c>
      <c r="AA678" s="111">
        <f t="shared" si="126"/>
        <v>0</v>
      </c>
      <c r="AB678" s="111">
        <f t="shared" si="126"/>
        <v>0</v>
      </c>
      <c r="AC678" s="111">
        <f t="shared" si="126"/>
        <v>0</v>
      </c>
      <c r="AD678" s="111">
        <f t="shared" si="126"/>
        <v>0</v>
      </c>
      <c r="AE678" s="111">
        <f t="shared" si="126"/>
        <v>0</v>
      </c>
      <c r="AF678" s="111">
        <f t="shared" si="126"/>
        <v>0</v>
      </c>
      <c r="AG678" s="111">
        <f t="shared" si="126"/>
        <v>0</v>
      </c>
      <c r="AH678" s="111">
        <f t="shared" si="126"/>
        <v>0</v>
      </c>
      <c r="AI678" s="111">
        <f t="shared" si="126"/>
        <v>0</v>
      </c>
      <c r="AJ678" s="111">
        <f t="shared" si="126"/>
        <v>0</v>
      </c>
      <c r="AK678" s="111">
        <f t="shared" si="126"/>
        <v>0</v>
      </c>
    </row>
    <row r="679" spans="1:37" x14ac:dyDescent="0.25">
      <c r="D679" s="9"/>
      <c r="E679" t="s">
        <v>969</v>
      </c>
      <c r="H679" s="9" t="s">
        <v>1267</v>
      </c>
      <c r="I679" s="59">
        <f>Datasheet!I336</f>
        <v>18837</v>
      </c>
      <c r="J679" s="59">
        <f>Datasheet!J336</f>
        <v>19066</v>
      </c>
      <c r="K679" s="59">
        <f>Datasheet!K336</f>
        <v>19467</v>
      </c>
      <c r="L679" s="59">
        <f>Datasheet!L336</f>
        <v>19632</v>
      </c>
      <c r="M679" s="59">
        <f>Datasheet!M336</f>
        <v>20014</v>
      </c>
      <c r="N679" s="59">
        <f>Datasheet!N336</f>
        <v>20472</v>
      </c>
      <c r="O679" s="59">
        <f>Datasheet!O336</f>
        <v>20988</v>
      </c>
      <c r="P679" s="59">
        <f>Datasheet!P336</f>
        <v>21232</v>
      </c>
      <c r="Q679" s="59">
        <f>Datasheet!Q336</f>
        <v>21296</v>
      </c>
      <c r="R679" s="59">
        <f>Datasheet!R336</f>
        <v>21414</v>
      </c>
      <c r="S679" s="59">
        <f>Datasheet!S336</f>
        <v>21624</v>
      </c>
      <c r="T679" s="59">
        <f>Datasheet!T336</f>
        <v>22315</v>
      </c>
      <c r="U679" s="59">
        <f>Datasheet!U336</f>
        <v>22773</v>
      </c>
      <c r="V679" s="59">
        <f>Datasheet!V336</f>
        <v>23047</v>
      </c>
      <c r="W679" s="59">
        <f>Datasheet!W336</f>
        <v>23234</v>
      </c>
      <c r="X679" s="59">
        <f>Datasheet!X336</f>
        <v>23384</v>
      </c>
      <c r="Y679" s="59">
        <f>Datasheet!Y336</f>
        <v>23269</v>
      </c>
      <c r="Z679" s="59">
        <f>Datasheet!Z336</f>
        <v>23464</v>
      </c>
      <c r="AA679" s="59">
        <f>Datasheet!AA336</f>
        <v>0</v>
      </c>
      <c r="AB679" s="59">
        <f>Datasheet!AB336</f>
        <v>0</v>
      </c>
      <c r="AC679" s="59">
        <f>Datasheet!AC336</f>
        <v>0</v>
      </c>
      <c r="AD679" s="59">
        <f>Datasheet!AD336</f>
        <v>0</v>
      </c>
      <c r="AE679" s="59">
        <f>Datasheet!AE336</f>
        <v>0</v>
      </c>
      <c r="AF679" s="59">
        <f>Datasheet!AF336</f>
        <v>0</v>
      </c>
      <c r="AG679" s="59">
        <f>Datasheet!AG336</f>
        <v>0</v>
      </c>
      <c r="AH679" s="59">
        <f>Datasheet!AH336</f>
        <v>0</v>
      </c>
      <c r="AI679" s="59">
        <f>Datasheet!AI336</f>
        <v>0</v>
      </c>
      <c r="AJ679" s="59">
        <f>Datasheet!AJ336</f>
        <v>0</v>
      </c>
      <c r="AK679" s="59">
        <f>Datasheet!AK336</f>
        <v>0</v>
      </c>
    </row>
    <row r="680" spans="1:37" x14ac:dyDescent="0.25">
      <c r="C680" s="168"/>
      <c r="D680" s="202"/>
      <c r="E680" s="9" t="s">
        <v>474</v>
      </c>
      <c r="H680" s="9" t="s">
        <v>1315</v>
      </c>
      <c r="I680" s="118">
        <v>0.05</v>
      </c>
      <c r="J680" s="118">
        <v>0.05</v>
      </c>
      <c r="K680" s="118">
        <v>0.05</v>
      </c>
      <c r="L680" s="118">
        <v>0.05</v>
      </c>
      <c r="M680" s="118">
        <v>0.05</v>
      </c>
      <c r="N680" s="118">
        <v>0.05</v>
      </c>
      <c r="O680" s="118">
        <v>0.05</v>
      </c>
      <c r="P680" s="118">
        <v>0.05</v>
      </c>
      <c r="Q680" s="118">
        <v>0.05</v>
      </c>
      <c r="R680" s="118">
        <v>0.05</v>
      </c>
      <c r="S680" s="118">
        <v>0.05</v>
      </c>
      <c r="T680" s="118">
        <v>0.05</v>
      </c>
      <c r="U680" s="118">
        <v>0.05</v>
      </c>
      <c r="V680" s="118">
        <v>0.05</v>
      </c>
      <c r="W680" s="118">
        <v>0.05</v>
      </c>
      <c r="X680" s="118">
        <v>0.05</v>
      </c>
      <c r="Y680" s="118">
        <v>0.05</v>
      </c>
      <c r="Z680" s="118">
        <v>0.05</v>
      </c>
      <c r="AA680" s="118">
        <v>0.05</v>
      </c>
      <c r="AB680" s="118">
        <v>0.05</v>
      </c>
      <c r="AC680" s="118">
        <v>0.05</v>
      </c>
      <c r="AD680" s="118">
        <v>0.05</v>
      </c>
      <c r="AE680" s="118">
        <v>0.05</v>
      </c>
      <c r="AF680" s="118">
        <v>0.05</v>
      </c>
      <c r="AG680" s="118">
        <v>0.05</v>
      </c>
      <c r="AH680" s="118">
        <v>0.05</v>
      </c>
      <c r="AI680" s="118">
        <v>0.05</v>
      </c>
      <c r="AJ680" s="118">
        <v>0.05</v>
      </c>
      <c r="AK680" s="118">
        <v>0.05</v>
      </c>
    </row>
    <row r="681" spans="1:37" s="109" customFormat="1" x14ac:dyDescent="0.25">
      <c r="D681" s="109" t="s">
        <v>469</v>
      </c>
      <c r="H681" s="109" t="s">
        <v>1267</v>
      </c>
      <c r="I681" s="111">
        <f t="shared" ref="I681:AK681" si="127">I437</f>
        <v>5951.7968677193167</v>
      </c>
      <c r="J681" s="111">
        <f t="shared" si="127"/>
        <v>6276.7050800363049</v>
      </c>
      <c r="K681" s="111">
        <f t="shared" si="127"/>
        <v>6401.6702621486365</v>
      </c>
      <c r="L681" s="111">
        <f t="shared" si="127"/>
        <v>6724.586013496737</v>
      </c>
      <c r="M681" s="111">
        <f t="shared" si="127"/>
        <v>6892.7181072680378</v>
      </c>
      <c r="N681" s="111">
        <f t="shared" si="127"/>
        <v>7430.233998310483</v>
      </c>
      <c r="O681" s="111">
        <f t="shared" si="127"/>
        <v>8023.3203886528354</v>
      </c>
      <c r="P681" s="111">
        <f t="shared" si="127"/>
        <v>7791.261571120569</v>
      </c>
      <c r="Q681" s="111">
        <f t="shared" si="127"/>
        <v>7523.447337477477</v>
      </c>
      <c r="R681" s="111">
        <f t="shared" si="127"/>
        <v>7305.9757915425198</v>
      </c>
      <c r="S681" s="111">
        <f t="shared" si="127"/>
        <v>7701.2805155997139</v>
      </c>
      <c r="T681" s="111">
        <f t="shared" si="127"/>
        <v>7993.7699526884253</v>
      </c>
      <c r="U681" s="111">
        <f t="shared" si="127"/>
        <v>8794.0694279362469</v>
      </c>
      <c r="V681" s="111">
        <f t="shared" si="127"/>
        <v>8546.2382135728549</v>
      </c>
      <c r="W681" s="111">
        <f t="shared" si="127"/>
        <v>8971.2560615020666</v>
      </c>
      <c r="X681" s="111">
        <f t="shared" si="127"/>
        <v>9544.3267196512752</v>
      </c>
      <c r="Y681" s="111">
        <f t="shared" si="127"/>
        <v>9458.0337979302512</v>
      </c>
      <c r="Z681" s="111">
        <f>Z437</f>
        <v>9625.1153149171532</v>
      </c>
      <c r="AA681" s="111" t="e">
        <f t="shared" si="127"/>
        <v>#DIV/0!</v>
      </c>
      <c r="AB681" s="111" t="e">
        <f t="shared" si="127"/>
        <v>#DIV/0!</v>
      </c>
      <c r="AC681" s="111" t="e">
        <f t="shared" si="127"/>
        <v>#DIV/0!</v>
      </c>
      <c r="AD681" s="111" t="e">
        <f t="shared" si="127"/>
        <v>#DIV/0!</v>
      </c>
      <c r="AE681" s="111" t="e">
        <f t="shared" si="127"/>
        <v>#DIV/0!</v>
      </c>
      <c r="AF681" s="111" t="e">
        <f t="shared" si="127"/>
        <v>#DIV/0!</v>
      </c>
      <c r="AG681" s="111" t="e">
        <f t="shared" si="127"/>
        <v>#DIV/0!</v>
      </c>
      <c r="AH681" s="111" t="e">
        <f t="shared" si="127"/>
        <v>#DIV/0!</v>
      </c>
      <c r="AI681" s="111" t="e">
        <f t="shared" si="127"/>
        <v>#DIV/0!</v>
      </c>
      <c r="AJ681" s="111" t="e">
        <f t="shared" si="127"/>
        <v>#DIV/0!</v>
      </c>
      <c r="AK681" s="111" t="e">
        <f t="shared" si="127"/>
        <v>#DIV/0!</v>
      </c>
    </row>
    <row r="682" spans="1:37" s="9" customFormat="1" x14ac:dyDescent="0.25">
      <c r="A682" s="9" t="s">
        <v>463</v>
      </c>
      <c r="B682" s="85">
        <f>AVERAGE(Z682:Z684,Y693)</f>
        <v>9210.3223555361728</v>
      </c>
      <c r="F682" s="9" t="s">
        <v>314</v>
      </c>
      <c r="H682" s="9" t="s">
        <v>1267</v>
      </c>
      <c r="I682" s="85">
        <f t="shared" ref="I682:AK682" si="128">I438</f>
        <v>5554.7549698280809</v>
      </c>
      <c r="J682" s="85">
        <f t="shared" si="128"/>
        <v>6011.6159810533509</v>
      </c>
      <c r="K682" s="85">
        <f t="shared" si="128"/>
        <v>6065.4484355268705</v>
      </c>
      <c r="L682" s="85">
        <f t="shared" si="128"/>
        <v>6312.1286365585565</v>
      </c>
      <c r="M682" s="85">
        <f t="shared" si="128"/>
        <v>6512.6469865308754</v>
      </c>
      <c r="N682" s="85">
        <f t="shared" si="128"/>
        <v>7264.8934791084557</v>
      </c>
      <c r="O682" s="85">
        <f t="shared" si="128"/>
        <v>7685.9712884278906</v>
      </c>
      <c r="P682" s="85">
        <f t="shared" si="128"/>
        <v>7852.7153793642965</v>
      </c>
      <c r="Q682" s="85">
        <f t="shared" si="128"/>
        <v>7177.0439910575878</v>
      </c>
      <c r="R682" s="85">
        <f t="shared" si="128"/>
        <v>6898.0857361122307</v>
      </c>
      <c r="S682" s="85">
        <f t="shared" si="128"/>
        <v>7298.4299657621632</v>
      </c>
      <c r="T682" s="85">
        <f t="shared" si="128"/>
        <v>7509.3407511724827</v>
      </c>
      <c r="U682" s="85">
        <f t="shared" si="128"/>
        <v>8356.4966133937614</v>
      </c>
      <c r="V682" s="85">
        <f t="shared" si="128"/>
        <v>8153.8315818363299</v>
      </c>
      <c r="W682" s="85">
        <f t="shared" si="128"/>
        <v>8624.3253400354806</v>
      </c>
      <c r="X682" s="85">
        <f t="shared" si="128"/>
        <v>9057.4393965015133</v>
      </c>
      <c r="Y682" s="85">
        <f t="shared" si="128"/>
        <v>8993.4285358218185</v>
      </c>
      <c r="Z682" s="85">
        <f t="shared" si="128"/>
        <v>9289.6325924351513</v>
      </c>
      <c r="AA682" s="85" t="e">
        <f t="shared" si="128"/>
        <v>#DIV/0!</v>
      </c>
      <c r="AB682" s="85" t="e">
        <f t="shared" si="128"/>
        <v>#DIV/0!</v>
      </c>
      <c r="AC682" s="85" t="e">
        <f t="shared" si="128"/>
        <v>#DIV/0!</v>
      </c>
      <c r="AD682" s="85" t="e">
        <f t="shared" si="128"/>
        <v>#DIV/0!</v>
      </c>
      <c r="AE682" s="85" t="e">
        <f t="shared" si="128"/>
        <v>#DIV/0!</v>
      </c>
      <c r="AF682" s="85" t="e">
        <f t="shared" si="128"/>
        <v>#DIV/0!</v>
      </c>
      <c r="AG682" s="85" t="e">
        <f t="shared" si="128"/>
        <v>#DIV/0!</v>
      </c>
      <c r="AH682" s="85" t="e">
        <f t="shared" si="128"/>
        <v>#DIV/0!</v>
      </c>
      <c r="AI682" s="85" t="e">
        <f t="shared" si="128"/>
        <v>#DIV/0!</v>
      </c>
      <c r="AJ682" s="85" t="e">
        <f t="shared" si="128"/>
        <v>#DIV/0!</v>
      </c>
      <c r="AK682" s="85" t="e">
        <f t="shared" si="128"/>
        <v>#DIV/0!</v>
      </c>
    </row>
    <row r="683" spans="1:37" s="9" customFormat="1" x14ac:dyDescent="0.25">
      <c r="A683" s="9" t="s">
        <v>462</v>
      </c>
      <c r="B683" s="85">
        <f>AVERAGE(Z687:Z690)</f>
        <v>10491.228373094258</v>
      </c>
      <c r="F683" s="9" t="s">
        <v>315</v>
      </c>
      <c r="H683" s="9" t="s">
        <v>1267</v>
      </c>
      <c r="I683" s="85">
        <f t="shared" ref="I683:AK683" si="129">I439</f>
        <v>5497.0624060101009</v>
      </c>
      <c r="J683" s="85">
        <f t="shared" si="129"/>
        <v>5994.7118125961106</v>
      </c>
      <c r="K683" s="85">
        <f t="shared" si="129"/>
        <v>6073.9109022028915</v>
      </c>
      <c r="L683" s="85">
        <f t="shared" si="129"/>
        <v>6333.3742185207739</v>
      </c>
      <c r="M683" s="85">
        <f t="shared" si="129"/>
        <v>6621.2426481934635</v>
      </c>
      <c r="N683" s="85">
        <f t="shared" si="129"/>
        <v>7310.4693449866809</v>
      </c>
      <c r="O683" s="85">
        <f t="shared" si="129"/>
        <v>7737.8370719820032</v>
      </c>
      <c r="P683" s="85">
        <f t="shared" si="129"/>
        <v>7749.6183363535447</v>
      </c>
      <c r="Q683" s="85">
        <f t="shared" si="129"/>
        <v>7117.9290162959496</v>
      </c>
      <c r="R683" s="85">
        <f t="shared" si="129"/>
        <v>6849.3317902272247</v>
      </c>
      <c r="S683" s="85">
        <f t="shared" si="129"/>
        <v>7290.8801054936048</v>
      </c>
      <c r="T683" s="85">
        <f t="shared" si="129"/>
        <v>7525.3763627772923</v>
      </c>
      <c r="U683" s="85">
        <f t="shared" si="129"/>
        <v>8276.5863192761135</v>
      </c>
      <c r="V683" s="85">
        <f t="shared" si="129"/>
        <v>8143.8203842315379</v>
      </c>
      <c r="W683" s="85">
        <f t="shared" si="129"/>
        <v>8551.05331164991</v>
      </c>
      <c r="X683" s="85">
        <f t="shared" si="129"/>
        <v>9042.0983785205626</v>
      </c>
      <c r="Y683" s="85">
        <f t="shared" si="129"/>
        <v>8902.7045422823066</v>
      </c>
      <c r="Z683" s="85">
        <f t="shared" si="129"/>
        <v>9179.0233688004701</v>
      </c>
      <c r="AA683" s="85" t="e">
        <f t="shared" si="129"/>
        <v>#DIV/0!</v>
      </c>
      <c r="AB683" s="85" t="e">
        <f t="shared" si="129"/>
        <v>#DIV/0!</v>
      </c>
      <c r="AC683" s="85" t="e">
        <f t="shared" si="129"/>
        <v>#DIV/0!</v>
      </c>
      <c r="AD683" s="85" t="e">
        <f t="shared" si="129"/>
        <v>#DIV/0!</v>
      </c>
      <c r="AE683" s="85" t="e">
        <f t="shared" si="129"/>
        <v>#DIV/0!</v>
      </c>
      <c r="AF683" s="85" t="e">
        <f t="shared" si="129"/>
        <v>#DIV/0!</v>
      </c>
      <c r="AG683" s="85" t="e">
        <f t="shared" si="129"/>
        <v>#DIV/0!</v>
      </c>
      <c r="AH683" s="85" t="e">
        <f t="shared" si="129"/>
        <v>#DIV/0!</v>
      </c>
      <c r="AI683" s="85" t="e">
        <f t="shared" si="129"/>
        <v>#DIV/0!</v>
      </c>
      <c r="AJ683" s="85" t="e">
        <f t="shared" si="129"/>
        <v>#DIV/0!</v>
      </c>
      <c r="AK683" s="85" t="e">
        <f t="shared" si="129"/>
        <v>#DIV/0!</v>
      </c>
    </row>
    <row r="684" spans="1:37" s="9" customFormat="1" x14ac:dyDescent="0.25">
      <c r="A684" s="9" t="s">
        <v>464</v>
      </c>
      <c r="B684" s="85">
        <f>AVERAGE(Z685:Z686,Z691:Z692)</f>
        <v>9113.3419222877237</v>
      </c>
      <c r="F684" s="9" t="s">
        <v>316</v>
      </c>
      <c r="H684" s="9" t="s">
        <v>1267</v>
      </c>
      <c r="I684" s="85">
        <f t="shared" ref="I684:AK684" si="130">I440</f>
        <v>5536.3698421921208</v>
      </c>
      <c r="J684" s="85">
        <f t="shared" si="130"/>
        <v>5967.0164967387836</v>
      </c>
      <c r="K684" s="85">
        <f t="shared" si="130"/>
        <v>6120.2126420653858</v>
      </c>
      <c r="L684" s="85">
        <f t="shared" si="130"/>
        <v>6377.2602636152296</v>
      </c>
      <c r="M684" s="85">
        <f t="shared" si="130"/>
        <v>6650.35249542579</v>
      </c>
      <c r="N684" s="85">
        <f t="shared" si="130"/>
        <v>7356.8604685164737</v>
      </c>
      <c r="O684" s="85">
        <f t="shared" si="130"/>
        <v>7764.3641902024483</v>
      </c>
      <c r="P684" s="85">
        <f t="shared" si="130"/>
        <v>7737.6231750632205</v>
      </c>
      <c r="Q684" s="85">
        <f t="shared" si="130"/>
        <v>7040.2369243161393</v>
      </c>
      <c r="R684" s="85">
        <f t="shared" si="130"/>
        <v>6808.2022806443601</v>
      </c>
      <c r="S684" s="85">
        <f t="shared" si="130"/>
        <v>7274.8701538883979</v>
      </c>
      <c r="T684" s="85">
        <f t="shared" si="130"/>
        <v>7528.6035582817358</v>
      </c>
      <c r="U684" s="85">
        <f t="shared" si="130"/>
        <v>8275.2895055506233</v>
      </c>
      <c r="V684" s="85">
        <f t="shared" si="130"/>
        <v>8154.6680489021965</v>
      </c>
      <c r="W684" s="85">
        <f t="shared" si="130"/>
        <v>8547.5521880544038</v>
      </c>
      <c r="X684" s="85">
        <f t="shared" si="130"/>
        <v>9079.4829678898222</v>
      </c>
      <c r="Y684" s="85">
        <f t="shared" si="130"/>
        <v>8929.8457159378668</v>
      </c>
      <c r="Z684" s="85">
        <f t="shared" si="130"/>
        <v>9113.3492691681276</v>
      </c>
      <c r="AA684" s="85" t="e">
        <f t="shared" si="130"/>
        <v>#DIV/0!</v>
      </c>
      <c r="AB684" s="85" t="e">
        <f t="shared" si="130"/>
        <v>#DIV/0!</v>
      </c>
      <c r="AC684" s="85" t="e">
        <f t="shared" si="130"/>
        <v>#DIV/0!</v>
      </c>
      <c r="AD684" s="85" t="e">
        <f t="shared" si="130"/>
        <v>#DIV/0!</v>
      </c>
      <c r="AE684" s="85" t="e">
        <f t="shared" si="130"/>
        <v>#DIV/0!</v>
      </c>
      <c r="AF684" s="85" t="e">
        <f t="shared" si="130"/>
        <v>#DIV/0!</v>
      </c>
      <c r="AG684" s="85" t="e">
        <f t="shared" si="130"/>
        <v>#DIV/0!</v>
      </c>
      <c r="AH684" s="85" t="e">
        <f t="shared" si="130"/>
        <v>#DIV/0!</v>
      </c>
      <c r="AI684" s="85" t="e">
        <f t="shared" si="130"/>
        <v>#DIV/0!</v>
      </c>
      <c r="AJ684" s="85" t="e">
        <f t="shared" si="130"/>
        <v>#DIV/0!</v>
      </c>
      <c r="AK684" s="85" t="e">
        <f t="shared" si="130"/>
        <v>#DIV/0!</v>
      </c>
    </row>
    <row r="685" spans="1:37" s="9" customFormat="1" x14ac:dyDescent="0.25">
      <c r="F685" s="9" t="s">
        <v>317</v>
      </c>
      <c r="H685" s="9" t="s">
        <v>1267</v>
      </c>
      <c r="I685" s="85">
        <f t="shared" ref="I685:AK685" si="131">I441</f>
        <v>5496.7150142231976</v>
      </c>
      <c r="J685" s="85">
        <f t="shared" si="131"/>
        <v>6043.5420661414473</v>
      </c>
      <c r="K685" s="85">
        <f t="shared" si="131"/>
        <v>6002.4271783359072</v>
      </c>
      <c r="L685" s="85">
        <f t="shared" si="131"/>
        <v>6332.8416164488663</v>
      </c>
      <c r="M685" s="85">
        <f t="shared" si="131"/>
        <v>6458.4294083283748</v>
      </c>
      <c r="N685" s="85">
        <f t="shared" si="131"/>
        <v>6779.3819448957056</v>
      </c>
      <c r="O685" s="85">
        <f t="shared" si="131"/>
        <v>7406.7116033491602</v>
      </c>
      <c r="P685" s="85">
        <f t="shared" si="131"/>
        <v>7294.0145729126843</v>
      </c>
      <c r="Q685" s="85">
        <f t="shared" si="131"/>
        <v>6770.0810073223092</v>
      </c>
      <c r="R685" s="85">
        <f t="shared" si="131"/>
        <v>6394.9286053343276</v>
      </c>
      <c r="S685" s="85">
        <f t="shared" si="131"/>
        <v>6974.6537405559739</v>
      </c>
      <c r="T685" s="85">
        <f t="shared" si="131"/>
        <v>7306.9937830595709</v>
      </c>
      <c r="U685" s="85">
        <f t="shared" si="131"/>
        <v>8080.6956330016037</v>
      </c>
      <c r="V685" s="85">
        <f t="shared" si="131"/>
        <v>7876.8926596806396</v>
      </c>
      <c r="W685" s="85">
        <f t="shared" si="131"/>
        <v>8183.9589296274389</v>
      </c>
      <c r="X685" s="85">
        <f t="shared" si="131"/>
        <v>8765.7402814572652</v>
      </c>
      <c r="Y685" s="85">
        <f t="shared" si="131"/>
        <v>8699.6870152140546</v>
      </c>
      <c r="Z685" s="85">
        <f t="shared" si="131"/>
        <v>8790.8936232841697</v>
      </c>
      <c r="AA685" s="85" t="e">
        <f t="shared" si="131"/>
        <v>#DIV/0!</v>
      </c>
      <c r="AB685" s="85" t="e">
        <f t="shared" si="131"/>
        <v>#DIV/0!</v>
      </c>
      <c r="AC685" s="85" t="e">
        <f t="shared" si="131"/>
        <v>#DIV/0!</v>
      </c>
      <c r="AD685" s="85" t="e">
        <f t="shared" si="131"/>
        <v>#DIV/0!</v>
      </c>
      <c r="AE685" s="85" t="e">
        <f t="shared" si="131"/>
        <v>#DIV/0!</v>
      </c>
      <c r="AF685" s="85" t="e">
        <f t="shared" si="131"/>
        <v>#DIV/0!</v>
      </c>
      <c r="AG685" s="85" t="e">
        <f t="shared" si="131"/>
        <v>#DIV/0!</v>
      </c>
      <c r="AH685" s="85" t="e">
        <f t="shared" si="131"/>
        <v>#DIV/0!</v>
      </c>
      <c r="AI685" s="85" t="e">
        <f t="shared" si="131"/>
        <v>#DIV/0!</v>
      </c>
      <c r="AJ685" s="85" t="e">
        <f t="shared" si="131"/>
        <v>#DIV/0!</v>
      </c>
      <c r="AK685" s="85" t="e">
        <f t="shared" si="131"/>
        <v>#DIV/0!</v>
      </c>
    </row>
    <row r="686" spans="1:37" s="9" customFormat="1" x14ac:dyDescent="0.25">
      <c r="F686" s="9" t="s">
        <v>318</v>
      </c>
      <c r="H686" s="9" t="s">
        <v>1267</v>
      </c>
      <c r="I686" s="85">
        <f t="shared" ref="I686:AK686" si="132">I442</f>
        <v>5976.579609117759</v>
      </c>
      <c r="J686" s="85">
        <f t="shared" si="132"/>
        <v>6296.2240601251169</v>
      </c>
      <c r="K686" s="85">
        <f t="shared" si="132"/>
        <v>6261.1899116037621</v>
      </c>
      <c r="L686" s="85">
        <f t="shared" si="132"/>
        <v>6643.6120816123857</v>
      </c>
      <c r="M686" s="85">
        <f t="shared" si="132"/>
        <v>6697.6186153914005</v>
      </c>
      <c r="N686" s="85">
        <f t="shared" si="132"/>
        <v>7121.2557508610062</v>
      </c>
      <c r="O686" s="85">
        <f t="shared" si="132"/>
        <v>7916.5278992751792</v>
      </c>
      <c r="P686" s="85">
        <f t="shared" si="132"/>
        <v>7796.776938504082</v>
      </c>
      <c r="Q686" s="85">
        <f t="shared" si="132"/>
        <v>7362.6749501153554</v>
      </c>
      <c r="R686" s="85">
        <f t="shared" si="132"/>
        <v>6957.4511532486449</v>
      </c>
      <c r="S686" s="85">
        <f t="shared" si="132"/>
        <v>7392.083840753643</v>
      </c>
      <c r="T686" s="85">
        <f t="shared" si="132"/>
        <v>7681.1826879210448</v>
      </c>
      <c r="U686" s="85">
        <f t="shared" si="132"/>
        <v>8541.9547016290544</v>
      </c>
      <c r="V686" s="85">
        <f t="shared" si="132"/>
        <v>8366.2034381237536</v>
      </c>
      <c r="W686" s="85">
        <f t="shared" si="132"/>
        <v>8813.5906268480176</v>
      </c>
      <c r="X686" s="85">
        <f t="shared" si="132"/>
        <v>9446.2609961858598</v>
      </c>
      <c r="Y686" s="85">
        <f t="shared" si="132"/>
        <v>9381.6823493050979</v>
      </c>
      <c r="Z686" s="85">
        <f t="shared" si="132"/>
        <v>9568.8920964258032</v>
      </c>
      <c r="AA686" s="85" t="e">
        <f t="shared" si="132"/>
        <v>#DIV/0!</v>
      </c>
      <c r="AB686" s="85" t="e">
        <f t="shared" si="132"/>
        <v>#DIV/0!</v>
      </c>
      <c r="AC686" s="85" t="e">
        <f t="shared" si="132"/>
        <v>#DIV/0!</v>
      </c>
      <c r="AD686" s="85" t="e">
        <f t="shared" si="132"/>
        <v>#DIV/0!</v>
      </c>
      <c r="AE686" s="85" t="e">
        <f t="shared" si="132"/>
        <v>#DIV/0!</v>
      </c>
      <c r="AF686" s="85" t="e">
        <f t="shared" si="132"/>
        <v>#DIV/0!</v>
      </c>
      <c r="AG686" s="85" t="e">
        <f t="shared" si="132"/>
        <v>#DIV/0!</v>
      </c>
      <c r="AH686" s="85" t="e">
        <f t="shared" si="132"/>
        <v>#DIV/0!</v>
      </c>
      <c r="AI686" s="85" t="e">
        <f t="shared" si="132"/>
        <v>#DIV/0!</v>
      </c>
      <c r="AJ686" s="85" t="e">
        <f t="shared" si="132"/>
        <v>#DIV/0!</v>
      </c>
      <c r="AK686" s="85" t="e">
        <f t="shared" si="132"/>
        <v>#DIV/0!</v>
      </c>
    </row>
    <row r="687" spans="1:37" s="9" customFormat="1" x14ac:dyDescent="0.25">
      <c r="F687" s="9" t="s">
        <v>319</v>
      </c>
      <c r="H687" s="9" t="s">
        <v>1267</v>
      </c>
      <c r="I687" s="85">
        <f t="shared" ref="I687:AK687" si="133">I443</f>
        <v>6690.7227833685938</v>
      </c>
      <c r="J687" s="85">
        <f t="shared" si="133"/>
        <v>6966.2386712123553</v>
      </c>
      <c r="K687" s="85">
        <f t="shared" si="133"/>
        <v>7014.0634909499095</v>
      </c>
      <c r="L687" s="85">
        <f t="shared" si="133"/>
        <v>7406.1812467555901</v>
      </c>
      <c r="M687" s="85">
        <f t="shared" si="133"/>
        <v>7662.9788428895827</v>
      </c>
      <c r="N687" s="85">
        <f t="shared" si="133"/>
        <v>8000.2888264344692</v>
      </c>
      <c r="O687" s="85">
        <f t="shared" si="133"/>
        <v>8785.1914833791543</v>
      </c>
      <c r="P687" s="85">
        <f t="shared" si="133"/>
        <v>8527.5720997944045</v>
      </c>
      <c r="Q687" s="85">
        <f t="shared" si="133"/>
        <v>8350.6216691282552</v>
      </c>
      <c r="R687" s="85">
        <f t="shared" si="133"/>
        <v>7976.7937406218134</v>
      </c>
      <c r="S687" s="85">
        <f t="shared" si="133"/>
        <v>8478.2857356483346</v>
      </c>
      <c r="T687" s="85">
        <f t="shared" si="133"/>
        <v>8740.7977558771345</v>
      </c>
      <c r="U687" s="85">
        <f t="shared" si="133"/>
        <v>9663.0505349623891</v>
      </c>
      <c r="V687" s="85">
        <f t="shared" si="133"/>
        <v>9328.3880489021976</v>
      </c>
      <c r="W687" s="85">
        <f t="shared" si="133"/>
        <v>9843.4160555884082</v>
      </c>
      <c r="X687" s="85">
        <f t="shared" si="133"/>
        <v>10438.872686620447</v>
      </c>
      <c r="Y687" s="85">
        <f t="shared" si="133"/>
        <v>10416.882445016054</v>
      </c>
      <c r="Z687" s="85">
        <f t="shared" si="133"/>
        <v>10547.01828791128</v>
      </c>
      <c r="AA687" s="85" t="e">
        <f t="shared" si="133"/>
        <v>#DIV/0!</v>
      </c>
      <c r="AB687" s="85" t="e">
        <f t="shared" si="133"/>
        <v>#DIV/0!</v>
      </c>
      <c r="AC687" s="85" t="e">
        <f t="shared" si="133"/>
        <v>#DIV/0!</v>
      </c>
      <c r="AD687" s="85" t="e">
        <f t="shared" si="133"/>
        <v>#DIV/0!</v>
      </c>
      <c r="AE687" s="85" t="e">
        <f t="shared" si="133"/>
        <v>#DIV/0!</v>
      </c>
      <c r="AF687" s="85" t="e">
        <f t="shared" si="133"/>
        <v>#DIV/0!</v>
      </c>
      <c r="AG687" s="85" t="e">
        <f t="shared" si="133"/>
        <v>#DIV/0!</v>
      </c>
      <c r="AH687" s="85" t="e">
        <f t="shared" si="133"/>
        <v>#DIV/0!</v>
      </c>
      <c r="AI687" s="85" t="e">
        <f t="shared" si="133"/>
        <v>#DIV/0!</v>
      </c>
      <c r="AJ687" s="85" t="e">
        <f t="shared" si="133"/>
        <v>#DIV/0!</v>
      </c>
      <c r="AK687" s="85" t="e">
        <f t="shared" si="133"/>
        <v>#DIV/0!</v>
      </c>
    </row>
    <row r="688" spans="1:37" s="9" customFormat="1" x14ac:dyDescent="0.25">
      <c r="F688" s="9" t="s">
        <v>320</v>
      </c>
      <c r="H688" s="9" t="s">
        <v>1267</v>
      </c>
      <c r="I688" s="85">
        <f t="shared" ref="I688:AK688" si="134">I444</f>
        <v>6571.2877112265269</v>
      </c>
      <c r="J688" s="85">
        <f t="shared" si="134"/>
        <v>6674.370600735343</v>
      </c>
      <c r="K688" s="85">
        <f t="shared" si="134"/>
        <v>6854.1135821523785</v>
      </c>
      <c r="L688" s="85">
        <f t="shared" si="134"/>
        <v>7176.5352991626605</v>
      </c>
      <c r="M688" s="85">
        <f t="shared" si="134"/>
        <v>7403.901929986996</v>
      </c>
      <c r="N688" s="85">
        <f t="shared" si="134"/>
        <v>7889.6280947429987</v>
      </c>
      <c r="O688" s="85">
        <f t="shared" si="134"/>
        <v>8575.2172269432613</v>
      </c>
      <c r="P688" s="85">
        <f t="shared" si="134"/>
        <v>8265.1755944180586</v>
      </c>
      <c r="Q688" s="85">
        <f t="shared" si="134"/>
        <v>8370.1068065371164</v>
      </c>
      <c r="R688" s="85">
        <f t="shared" si="134"/>
        <v>8097.3381318281263</v>
      </c>
      <c r="S688" s="85">
        <f t="shared" si="134"/>
        <v>8404.0149974573451</v>
      </c>
      <c r="T688" s="85">
        <f t="shared" si="134"/>
        <v>8673.6682472519387</v>
      </c>
      <c r="U688" s="85">
        <f t="shared" si="134"/>
        <v>9602.591711432975</v>
      </c>
      <c r="V688" s="85">
        <f t="shared" si="134"/>
        <v>9317.1442165668668</v>
      </c>
      <c r="W688" s="85">
        <f t="shared" si="134"/>
        <v>9858.5084269662912</v>
      </c>
      <c r="X688" s="85">
        <f t="shared" si="134"/>
        <v>10436.806399488943</v>
      </c>
      <c r="Y688" s="85">
        <f t="shared" si="134"/>
        <v>10428.865695599292</v>
      </c>
      <c r="Z688" s="85">
        <f t="shared" si="134"/>
        <v>10567.457209622466</v>
      </c>
      <c r="AA688" s="85" t="e">
        <f t="shared" si="134"/>
        <v>#DIV/0!</v>
      </c>
      <c r="AB688" s="85" t="e">
        <f t="shared" si="134"/>
        <v>#DIV/0!</v>
      </c>
      <c r="AC688" s="85" t="e">
        <f t="shared" si="134"/>
        <v>#DIV/0!</v>
      </c>
      <c r="AD688" s="85" t="e">
        <f t="shared" si="134"/>
        <v>#DIV/0!</v>
      </c>
      <c r="AE688" s="85" t="e">
        <f t="shared" si="134"/>
        <v>#DIV/0!</v>
      </c>
      <c r="AF688" s="85" t="e">
        <f t="shared" si="134"/>
        <v>#DIV/0!</v>
      </c>
      <c r="AG688" s="85" t="e">
        <f t="shared" si="134"/>
        <v>#DIV/0!</v>
      </c>
      <c r="AH688" s="85" t="e">
        <f t="shared" si="134"/>
        <v>#DIV/0!</v>
      </c>
      <c r="AI688" s="85" t="e">
        <f t="shared" si="134"/>
        <v>#DIV/0!</v>
      </c>
      <c r="AJ688" s="85" t="e">
        <f t="shared" si="134"/>
        <v>#DIV/0!</v>
      </c>
      <c r="AK688" s="85" t="e">
        <f t="shared" si="134"/>
        <v>#DIV/0!</v>
      </c>
    </row>
    <row r="689" spans="1:37" s="9" customFormat="1" x14ac:dyDescent="0.25">
      <c r="F689" s="9" t="s">
        <v>321</v>
      </c>
      <c r="H689" s="9" t="s">
        <v>1267</v>
      </c>
      <c r="I689" s="85">
        <f t="shared" ref="I689:AK689" si="135">I445</f>
        <v>6646.7560797059959</v>
      </c>
      <c r="J689" s="85">
        <f t="shared" si="135"/>
        <v>6820.5579664422621</v>
      </c>
      <c r="K689" s="85">
        <f t="shared" si="135"/>
        <v>7025.4896169496278</v>
      </c>
      <c r="L689" s="85">
        <f t="shared" si="135"/>
        <v>7299.6000970501264</v>
      </c>
      <c r="M689" s="85">
        <f t="shared" si="135"/>
        <v>7482.1252617772207</v>
      </c>
      <c r="N689" s="85">
        <f t="shared" si="135"/>
        <v>7905.1751088439814</v>
      </c>
      <c r="O689" s="85">
        <f t="shared" si="135"/>
        <v>8637.1832354411363</v>
      </c>
      <c r="P689" s="85">
        <f t="shared" si="135"/>
        <v>8256.8151105470897</v>
      </c>
      <c r="Q689" s="85">
        <f t="shared" si="135"/>
        <v>8417.401254097409</v>
      </c>
      <c r="R689" s="85">
        <f t="shared" si="135"/>
        <v>8226.9152175102008</v>
      </c>
      <c r="S689" s="85">
        <f t="shared" si="135"/>
        <v>8498.2842360913837</v>
      </c>
      <c r="T689" s="85">
        <f t="shared" si="135"/>
        <v>8788.4254349152943</v>
      </c>
      <c r="U689" s="85">
        <f t="shared" si="135"/>
        <v>9648.4243094721933</v>
      </c>
      <c r="V689" s="85">
        <f t="shared" si="135"/>
        <v>9371.4748752495034</v>
      </c>
      <c r="W689" s="85">
        <f t="shared" si="135"/>
        <v>9845.5426079243043</v>
      </c>
      <c r="X689" s="85">
        <f t="shared" si="135"/>
        <v>10495.711985419837</v>
      </c>
      <c r="Y689" s="85">
        <f t="shared" si="135"/>
        <v>10491.994486650317</v>
      </c>
      <c r="Z689" s="85">
        <f t="shared" si="135"/>
        <v>10636.38625210743</v>
      </c>
      <c r="AA689" s="85" t="e">
        <f t="shared" si="135"/>
        <v>#DIV/0!</v>
      </c>
      <c r="AB689" s="85" t="e">
        <f t="shared" si="135"/>
        <v>#DIV/0!</v>
      </c>
      <c r="AC689" s="85" t="e">
        <f t="shared" si="135"/>
        <v>#DIV/0!</v>
      </c>
      <c r="AD689" s="85" t="e">
        <f t="shared" si="135"/>
        <v>#DIV/0!</v>
      </c>
      <c r="AE689" s="85" t="e">
        <f t="shared" si="135"/>
        <v>#DIV/0!</v>
      </c>
      <c r="AF689" s="85" t="e">
        <f t="shared" si="135"/>
        <v>#DIV/0!</v>
      </c>
      <c r="AG689" s="85" t="e">
        <f t="shared" si="135"/>
        <v>#DIV/0!</v>
      </c>
      <c r="AH689" s="85" t="e">
        <f t="shared" si="135"/>
        <v>#DIV/0!</v>
      </c>
      <c r="AI689" s="85" t="e">
        <f t="shared" si="135"/>
        <v>#DIV/0!</v>
      </c>
      <c r="AJ689" s="85" t="e">
        <f t="shared" si="135"/>
        <v>#DIV/0!</v>
      </c>
      <c r="AK689" s="85" t="e">
        <f t="shared" si="135"/>
        <v>#DIV/0!</v>
      </c>
    </row>
    <row r="690" spans="1:37" s="9" customFormat="1" x14ac:dyDescent="0.25">
      <c r="F690" s="9" t="s">
        <v>322</v>
      </c>
      <c r="H690" s="9" t="s">
        <v>1267</v>
      </c>
      <c r="I690" s="85">
        <f t="shared" ref="I690:AK690" si="136">I446</f>
        <v>6466.7693982409546</v>
      </c>
      <c r="J690" s="85">
        <f t="shared" si="136"/>
        <v>6658.5738667430796</v>
      </c>
      <c r="K690" s="85">
        <f t="shared" si="136"/>
        <v>6851.5395678406076</v>
      </c>
      <c r="L690" s="85">
        <f t="shared" si="136"/>
        <v>7178.8686324959926</v>
      </c>
      <c r="M690" s="85">
        <f t="shared" si="136"/>
        <v>7328.7081597337037</v>
      </c>
      <c r="N690" s="85">
        <f t="shared" si="136"/>
        <v>7876.8854863863817</v>
      </c>
      <c r="O690" s="85">
        <f t="shared" si="136"/>
        <v>8522.1964821294659</v>
      </c>
      <c r="P690" s="85">
        <f t="shared" si="136"/>
        <v>8191.1409169987055</v>
      </c>
      <c r="Q690" s="85">
        <f t="shared" si="136"/>
        <v>8220.8712484888838</v>
      </c>
      <c r="R690" s="85">
        <f t="shared" si="136"/>
        <v>8146.8629345338759</v>
      </c>
      <c r="S690" s="85">
        <f t="shared" si="136"/>
        <v>8328.9481990114309</v>
      </c>
      <c r="T690" s="85">
        <f t="shared" si="136"/>
        <v>8694.4572566612442</v>
      </c>
      <c r="U690" s="85">
        <f t="shared" si="136"/>
        <v>9440.1909761388597</v>
      </c>
      <c r="V690" s="85">
        <f t="shared" si="136"/>
        <v>9175.0113423153707</v>
      </c>
      <c r="W690" s="85">
        <f t="shared" si="136"/>
        <v>9609.3371673565925</v>
      </c>
      <c r="X690" s="85">
        <f t="shared" si="136"/>
        <v>10225.817729177235</v>
      </c>
      <c r="Y690" s="85">
        <f t="shared" si="136"/>
        <v>10068.94615261909</v>
      </c>
      <c r="Z690" s="85">
        <f t="shared" si="136"/>
        <v>10214.051742735854</v>
      </c>
      <c r="AA690" s="85" t="e">
        <f t="shared" si="136"/>
        <v>#DIV/0!</v>
      </c>
      <c r="AB690" s="85" t="e">
        <f t="shared" si="136"/>
        <v>#DIV/0!</v>
      </c>
      <c r="AC690" s="85" t="e">
        <f t="shared" si="136"/>
        <v>#DIV/0!</v>
      </c>
      <c r="AD690" s="85" t="e">
        <f t="shared" si="136"/>
        <v>#DIV/0!</v>
      </c>
      <c r="AE690" s="85" t="e">
        <f t="shared" si="136"/>
        <v>#DIV/0!</v>
      </c>
      <c r="AF690" s="85" t="e">
        <f t="shared" si="136"/>
        <v>#DIV/0!</v>
      </c>
      <c r="AG690" s="85" t="e">
        <f t="shared" si="136"/>
        <v>#DIV/0!</v>
      </c>
      <c r="AH690" s="85" t="e">
        <f t="shared" si="136"/>
        <v>#DIV/0!</v>
      </c>
      <c r="AI690" s="85" t="e">
        <f t="shared" si="136"/>
        <v>#DIV/0!</v>
      </c>
      <c r="AJ690" s="85" t="e">
        <f t="shared" si="136"/>
        <v>#DIV/0!</v>
      </c>
      <c r="AK690" s="85" t="e">
        <f t="shared" si="136"/>
        <v>#DIV/0!</v>
      </c>
    </row>
    <row r="691" spans="1:37" s="9" customFormat="1" x14ac:dyDescent="0.25">
      <c r="F691" s="9" t="s">
        <v>323</v>
      </c>
      <c r="H691" s="9" t="s">
        <v>1267</v>
      </c>
      <c r="I691" s="85">
        <f t="shared" ref="I691:AK691" si="137">I447</f>
        <v>5775.8204526249738</v>
      </c>
      <c r="J691" s="85">
        <f t="shared" si="137"/>
        <v>6018.1402612424363</v>
      </c>
      <c r="K691" s="85">
        <f t="shared" si="137"/>
        <v>6326.1171600954131</v>
      </c>
      <c r="L691" s="85">
        <f t="shared" si="137"/>
        <v>6700.8324756810416</v>
      </c>
      <c r="M691" s="85">
        <f t="shared" si="137"/>
        <v>6705.4561261380441</v>
      </c>
      <c r="N691" s="85">
        <f t="shared" si="137"/>
        <v>7316.5043050230706</v>
      </c>
      <c r="O691" s="85">
        <f t="shared" si="137"/>
        <v>7931.8370719820032</v>
      </c>
      <c r="P691" s="85">
        <f t="shared" si="137"/>
        <v>7475.4694116223609</v>
      </c>
      <c r="Q691" s="85">
        <f t="shared" si="137"/>
        <v>7412.3401211753662</v>
      </c>
      <c r="R691" s="85">
        <f t="shared" si="137"/>
        <v>7402.8158657627373</v>
      </c>
      <c r="S691" s="85">
        <f t="shared" si="137"/>
        <v>7746.0139068704721</v>
      </c>
      <c r="T691" s="85">
        <f t="shared" si="137"/>
        <v>8165.7966450564354</v>
      </c>
      <c r="U691" s="85">
        <f t="shared" si="137"/>
        <v>8910.5365643741534</v>
      </c>
      <c r="V691" s="85">
        <f t="shared" si="137"/>
        <v>8603.4654141716601</v>
      </c>
      <c r="W691" s="85">
        <f t="shared" si="137"/>
        <v>8963.0481076286196</v>
      </c>
      <c r="X691" s="85">
        <f t="shared" si="137"/>
        <v>9554.0415609792744</v>
      </c>
      <c r="Y691" s="85">
        <f t="shared" si="137"/>
        <v>9409.5313652768637</v>
      </c>
      <c r="Z691" s="85">
        <f t="shared" si="137"/>
        <v>9708.4496206837939</v>
      </c>
      <c r="AA691" s="85" t="e">
        <f t="shared" si="137"/>
        <v>#DIV/0!</v>
      </c>
      <c r="AB691" s="85" t="e">
        <f t="shared" si="137"/>
        <v>#DIV/0!</v>
      </c>
      <c r="AC691" s="85" t="e">
        <f t="shared" si="137"/>
        <v>#DIV/0!</v>
      </c>
      <c r="AD691" s="85" t="e">
        <f t="shared" si="137"/>
        <v>#DIV/0!</v>
      </c>
      <c r="AE691" s="85" t="e">
        <f t="shared" si="137"/>
        <v>#DIV/0!</v>
      </c>
      <c r="AF691" s="85" t="e">
        <f t="shared" si="137"/>
        <v>#DIV/0!</v>
      </c>
      <c r="AG691" s="85" t="e">
        <f t="shared" si="137"/>
        <v>#DIV/0!</v>
      </c>
      <c r="AH691" s="85" t="e">
        <f t="shared" si="137"/>
        <v>#DIV/0!</v>
      </c>
      <c r="AI691" s="85" t="e">
        <f t="shared" si="137"/>
        <v>#DIV/0!</v>
      </c>
      <c r="AJ691" s="85" t="e">
        <f t="shared" si="137"/>
        <v>#DIV/0!</v>
      </c>
      <c r="AK691" s="85" t="e">
        <f t="shared" si="137"/>
        <v>#DIV/0!</v>
      </c>
    </row>
    <row r="692" spans="1:37" s="9" customFormat="1" x14ac:dyDescent="0.25">
      <c r="F692" s="9" t="s">
        <v>324</v>
      </c>
      <c r="H692" s="9" t="s">
        <v>1267</v>
      </c>
      <c r="I692" s="85">
        <f t="shared" ref="I692:AK692" si="138">I448</f>
        <v>5421.6173449668158</v>
      </c>
      <c r="J692" s="85">
        <f t="shared" si="138"/>
        <v>5752.9189462445838</v>
      </c>
      <c r="K692" s="85">
        <f t="shared" si="138"/>
        <v>5924.4612740283446</v>
      </c>
      <c r="L692" s="85">
        <f t="shared" si="138"/>
        <v>6240.6705825264617</v>
      </c>
      <c r="M692" s="85">
        <f t="shared" si="138"/>
        <v>6337.5882602561578</v>
      </c>
      <c r="N692" s="85">
        <f t="shared" si="138"/>
        <v>6890.2487978426161</v>
      </c>
      <c r="O692" s="85">
        <f t="shared" si="138"/>
        <v>7405.5991314671319</v>
      </c>
      <c r="P692" s="85">
        <f t="shared" si="138"/>
        <v>6873.6304331277379</v>
      </c>
      <c r="Q692" s="85">
        <f t="shared" si="138"/>
        <v>6651.2369243161393</v>
      </c>
      <c r="R692" s="85">
        <f t="shared" si="138"/>
        <v>6579.9856797424436</v>
      </c>
      <c r="S692" s="85">
        <f t="shared" si="138"/>
        <v>7062.3688247356476</v>
      </c>
      <c r="T692" s="85">
        <f t="shared" si="138"/>
        <v>7332.7176461019126</v>
      </c>
      <c r="U692" s="85">
        <f t="shared" si="138"/>
        <v>7934.2468584918006</v>
      </c>
      <c r="V692" s="85">
        <f t="shared" si="138"/>
        <v>7695.453198602796</v>
      </c>
      <c r="W692" s="85">
        <f t="shared" si="138"/>
        <v>8049.7323181549364</v>
      </c>
      <c r="X692" s="85">
        <f t="shared" si="138"/>
        <v>8680.002668019466</v>
      </c>
      <c r="Y692" s="85">
        <f t="shared" si="138"/>
        <v>8513.553079699308</v>
      </c>
      <c r="Z692" s="85">
        <f t="shared" si="138"/>
        <v>8385.1323487571299</v>
      </c>
      <c r="AA692" s="85" t="e">
        <f t="shared" si="138"/>
        <v>#DIV/0!</v>
      </c>
      <c r="AB692" s="85" t="e">
        <f t="shared" si="138"/>
        <v>#DIV/0!</v>
      </c>
      <c r="AC692" s="85" t="e">
        <f t="shared" si="138"/>
        <v>#DIV/0!</v>
      </c>
      <c r="AD692" s="85" t="e">
        <f t="shared" si="138"/>
        <v>#DIV/0!</v>
      </c>
      <c r="AE692" s="85" t="e">
        <f t="shared" si="138"/>
        <v>#DIV/0!</v>
      </c>
      <c r="AF692" s="85" t="e">
        <f t="shared" si="138"/>
        <v>#DIV/0!</v>
      </c>
      <c r="AG692" s="85" t="e">
        <f t="shared" si="138"/>
        <v>#DIV/0!</v>
      </c>
      <c r="AH692" s="85" t="e">
        <f t="shared" si="138"/>
        <v>#DIV/0!</v>
      </c>
      <c r="AI692" s="85" t="e">
        <f t="shared" si="138"/>
        <v>#DIV/0!</v>
      </c>
      <c r="AJ692" s="85" t="e">
        <f t="shared" si="138"/>
        <v>#DIV/0!</v>
      </c>
      <c r="AK692" s="85" t="e">
        <f t="shared" si="138"/>
        <v>#DIV/0!</v>
      </c>
    </row>
    <row r="693" spans="1:37" s="9" customFormat="1" x14ac:dyDescent="0.25">
      <c r="F693" s="9" t="s">
        <v>325</v>
      </c>
      <c r="H693" s="9" t="s">
        <v>1267</v>
      </c>
      <c r="I693" s="85">
        <f t="shared" ref="I693:AK693" si="139">I449</f>
        <v>5787.1068011266398</v>
      </c>
      <c r="J693" s="85">
        <f t="shared" si="139"/>
        <v>6116.5502311607861</v>
      </c>
      <c r="K693" s="85">
        <f t="shared" si="139"/>
        <v>6301.069384032553</v>
      </c>
      <c r="L693" s="85">
        <f t="shared" si="139"/>
        <v>6693.1270115331645</v>
      </c>
      <c r="M693" s="85">
        <f t="shared" si="139"/>
        <v>6851.5685525648678</v>
      </c>
      <c r="N693" s="85">
        <f t="shared" si="139"/>
        <v>7451.216372083958</v>
      </c>
      <c r="O693" s="85">
        <f t="shared" si="139"/>
        <v>7911.2079792551849</v>
      </c>
      <c r="P693" s="85">
        <f t="shared" si="139"/>
        <v>7474.5868847406409</v>
      </c>
      <c r="Q693" s="85">
        <f t="shared" si="139"/>
        <v>7390.8241368792351</v>
      </c>
      <c r="R693" s="85">
        <f t="shared" si="139"/>
        <v>7332.9983629442486</v>
      </c>
      <c r="S693" s="85">
        <f t="shared" si="139"/>
        <v>7666.5324809281356</v>
      </c>
      <c r="T693" s="85">
        <f t="shared" si="139"/>
        <v>7977.8793031850282</v>
      </c>
      <c r="U693" s="85">
        <f t="shared" si="139"/>
        <v>8798.7694075114086</v>
      </c>
      <c r="V693" s="85">
        <f t="shared" si="139"/>
        <v>8368.5053542914193</v>
      </c>
      <c r="W693" s="85">
        <f t="shared" si="139"/>
        <v>8765.0076581904177</v>
      </c>
      <c r="X693" s="85">
        <f t="shared" si="139"/>
        <v>9309.6455855551158</v>
      </c>
      <c r="Y693" s="85">
        <f t="shared" si="139"/>
        <v>9259.2841917409423</v>
      </c>
      <c r="Z693" s="85">
        <f t="shared" si="139"/>
        <v>9501.0973670741914</v>
      </c>
      <c r="AA693" s="85" t="e">
        <f t="shared" si="139"/>
        <v>#DIV/0!</v>
      </c>
      <c r="AB693" s="85" t="e">
        <f t="shared" si="139"/>
        <v>#DIV/0!</v>
      </c>
      <c r="AC693" s="85" t="e">
        <f t="shared" si="139"/>
        <v>#DIV/0!</v>
      </c>
      <c r="AD693" s="85" t="e">
        <f t="shared" si="139"/>
        <v>#DIV/0!</v>
      </c>
      <c r="AE693" s="85" t="e">
        <f t="shared" si="139"/>
        <v>#DIV/0!</v>
      </c>
      <c r="AF693" s="85" t="e">
        <f t="shared" si="139"/>
        <v>#DIV/0!</v>
      </c>
      <c r="AG693" s="85" t="e">
        <f t="shared" si="139"/>
        <v>#DIV/0!</v>
      </c>
      <c r="AH693" s="85" t="e">
        <f t="shared" si="139"/>
        <v>#DIV/0!</v>
      </c>
      <c r="AI693" s="85" t="e">
        <f t="shared" si="139"/>
        <v>#DIV/0!</v>
      </c>
      <c r="AJ693" s="85" t="e">
        <f t="shared" si="139"/>
        <v>#DIV/0!</v>
      </c>
      <c r="AK693" s="85" t="e">
        <f t="shared" si="139"/>
        <v>#DIV/0!</v>
      </c>
    </row>
    <row r="694" spans="1:37" s="109" customFormat="1" x14ac:dyDescent="0.25">
      <c r="D694" s="109" t="s">
        <v>471</v>
      </c>
      <c r="H694" s="109" t="s">
        <v>1267</v>
      </c>
      <c r="I694" s="111">
        <f t="shared" ref="I694:AK694" si="140">I423</f>
        <v>1783.4961901595016</v>
      </c>
      <c r="J694" s="111">
        <f t="shared" si="140"/>
        <v>1390.4996336048516</v>
      </c>
      <c r="K694" s="111">
        <f t="shared" si="140"/>
        <v>1310.8267737711049</v>
      </c>
      <c r="L694" s="111">
        <f t="shared" si="140"/>
        <v>1264.1906809307782</v>
      </c>
      <c r="M694" s="111">
        <f t="shared" si="140"/>
        <v>1450.2576328726047</v>
      </c>
      <c r="N694" s="111">
        <f t="shared" si="140"/>
        <v>1607.4011469231264</v>
      </c>
      <c r="O694" s="111">
        <f t="shared" si="140"/>
        <v>1438.2081875364495</v>
      </c>
      <c r="P694" s="111">
        <f t="shared" si="140"/>
        <v>1243.3512778484005</v>
      </c>
      <c r="Q694" s="111">
        <f t="shared" si="140"/>
        <v>1331.1786297762321</v>
      </c>
      <c r="R694" s="111">
        <f t="shared" si="140"/>
        <v>1382.7845757345749</v>
      </c>
      <c r="S694" s="111">
        <f t="shared" si="140"/>
        <v>1363.0669179041781</v>
      </c>
      <c r="T694" s="111">
        <f t="shared" si="140"/>
        <v>1378.1707413622496</v>
      </c>
      <c r="U694" s="111">
        <f t="shared" si="140"/>
        <v>1197.6496678129881</v>
      </c>
      <c r="V694" s="111">
        <f t="shared" si="140"/>
        <v>1376.6893163672639</v>
      </c>
      <c r="W694" s="111">
        <f t="shared" si="140"/>
        <v>1625.8351271437018</v>
      </c>
      <c r="X694" s="111">
        <f t="shared" si="140"/>
        <v>1428.4243607087149</v>
      </c>
      <c r="Y694" s="111">
        <f t="shared" si="140"/>
        <v>2132.6714721540943</v>
      </c>
      <c r="Z694" s="111">
        <f t="shared" si="140"/>
        <v>1817.8840487853129</v>
      </c>
      <c r="AA694" s="111" t="e">
        <f t="shared" si="140"/>
        <v>#DIV/0!</v>
      </c>
      <c r="AB694" s="111" t="e">
        <f t="shared" si="140"/>
        <v>#DIV/0!</v>
      </c>
      <c r="AC694" s="111" t="e">
        <f t="shared" si="140"/>
        <v>#DIV/0!</v>
      </c>
      <c r="AD694" s="111" t="e">
        <f t="shared" si="140"/>
        <v>#DIV/0!</v>
      </c>
      <c r="AE694" s="111" t="e">
        <f t="shared" si="140"/>
        <v>#DIV/0!</v>
      </c>
      <c r="AF694" s="111" t="e">
        <f t="shared" si="140"/>
        <v>#DIV/0!</v>
      </c>
      <c r="AG694" s="111" t="e">
        <f t="shared" si="140"/>
        <v>#DIV/0!</v>
      </c>
      <c r="AH694" s="111" t="e">
        <f t="shared" si="140"/>
        <v>#DIV/0!</v>
      </c>
      <c r="AI694" s="111" t="e">
        <f t="shared" si="140"/>
        <v>#DIV/0!</v>
      </c>
      <c r="AJ694" s="111" t="e">
        <f t="shared" si="140"/>
        <v>#DIV/0!</v>
      </c>
      <c r="AK694" s="111" t="e">
        <f t="shared" si="140"/>
        <v>#DIV/0!</v>
      </c>
    </row>
    <row r="695" spans="1:37" s="9" customFormat="1" x14ac:dyDescent="0.25">
      <c r="A695" s="9" t="s">
        <v>463</v>
      </c>
      <c r="B695" s="85">
        <f>AVERAGE(Z695:Z697,Y706)</f>
        <v>1368.8100712941746</v>
      </c>
      <c r="C695" s="51"/>
      <c r="F695" s="9" t="s">
        <v>314</v>
      </c>
      <c r="H695" s="9" t="s">
        <v>1267</v>
      </c>
      <c r="I695" s="59">
        <f t="shared" ref="I695:AK695" si="141">I424</f>
        <v>593.07952349283732</v>
      </c>
      <c r="J695" s="59">
        <f t="shared" si="141"/>
        <v>668.58296693818556</v>
      </c>
      <c r="K695" s="59">
        <f t="shared" si="141"/>
        <v>518.74344043777091</v>
      </c>
      <c r="L695" s="59">
        <f t="shared" si="141"/>
        <v>364.52401426411234</v>
      </c>
      <c r="M695" s="59">
        <f t="shared" si="141"/>
        <v>638.50763287260452</v>
      </c>
      <c r="N695" s="59">
        <f t="shared" si="141"/>
        <v>803.40114692312636</v>
      </c>
      <c r="O695" s="59">
        <f t="shared" si="141"/>
        <v>939.7915208697832</v>
      </c>
      <c r="P695" s="59">
        <f t="shared" si="141"/>
        <v>922.93461118173582</v>
      </c>
      <c r="Q695" s="59">
        <f t="shared" si="141"/>
        <v>785.84529644289796</v>
      </c>
      <c r="R695" s="59">
        <f t="shared" si="141"/>
        <v>793.11790906790884</v>
      </c>
      <c r="S695" s="59">
        <f t="shared" si="141"/>
        <v>732.31691790417972</v>
      </c>
      <c r="T695" s="59">
        <f t="shared" si="141"/>
        <v>584.17074136224983</v>
      </c>
      <c r="U695" s="59">
        <f t="shared" si="141"/>
        <v>536.48300114632366</v>
      </c>
      <c r="V695" s="59">
        <f t="shared" si="141"/>
        <v>636.18931636726484</v>
      </c>
      <c r="W695" s="59">
        <f t="shared" si="141"/>
        <v>864.58512714370227</v>
      </c>
      <c r="X695" s="59">
        <f t="shared" si="141"/>
        <v>858.8410273753816</v>
      </c>
      <c r="Y695" s="59">
        <f t="shared" si="141"/>
        <v>1615.8381388207599</v>
      </c>
      <c r="Z695" s="59">
        <f t="shared" si="141"/>
        <v>1456.4673821186461</v>
      </c>
      <c r="AA695" s="59" t="e">
        <f t="shared" si="141"/>
        <v>#DIV/0!</v>
      </c>
      <c r="AB695" s="59" t="e">
        <f t="shared" si="141"/>
        <v>#DIV/0!</v>
      </c>
      <c r="AC695" s="59" t="e">
        <f t="shared" si="141"/>
        <v>#DIV/0!</v>
      </c>
      <c r="AD695" s="59" t="e">
        <f t="shared" si="141"/>
        <v>#DIV/0!</v>
      </c>
      <c r="AE695" s="59" t="e">
        <f t="shared" si="141"/>
        <v>#DIV/0!</v>
      </c>
      <c r="AF695" s="59" t="e">
        <f t="shared" si="141"/>
        <v>#DIV/0!</v>
      </c>
      <c r="AG695" s="59" t="e">
        <f t="shared" si="141"/>
        <v>#DIV/0!</v>
      </c>
      <c r="AH695" s="59" t="e">
        <f t="shared" si="141"/>
        <v>#DIV/0!</v>
      </c>
      <c r="AI695" s="59" t="e">
        <f t="shared" si="141"/>
        <v>#DIV/0!</v>
      </c>
      <c r="AJ695" s="59" t="e">
        <f t="shared" si="141"/>
        <v>#DIV/0!</v>
      </c>
      <c r="AK695" s="59" t="e">
        <f t="shared" si="141"/>
        <v>#DIV/0!</v>
      </c>
    </row>
    <row r="696" spans="1:37" s="9" customFormat="1" x14ac:dyDescent="0.25">
      <c r="A696" s="9" t="s">
        <v>462</v>
      </c>
      <c r="B696" s="85">
        <f>AVERAGE(Z700:Z703)</f>
        <v>3566.9673821186461</v>
      </c>
      <c r="C696" s="51"/>
      <c r="F696" s="9" t="s">
        <v>315</v>
      </c>
      <c r="H696" s="9" t="s">
        <v>1267</v>
      </c>
      <c r="I696" s="59">
        <f t="shared" ref="I696:AK696" si="142">I425</f>
        <v>632.07952349283732</v>
      </c>
      <c r="J696" s="59">
        <f t="shared" si="142"/>
        <v>628.58296693818556</v>
      </c>
      <c r="K696" s="59">
        <f t="shared" si="142"/>
        <v>428.74344043777091</v>
      </c>
      <c r="L696" s="59">
        <f t="shared" si="142"/>
        <v>348.52401426411234</v>
      </c>
      <c r="M696" s="59">
        <f t="shared" si="142"/>
        <v>609.50763287260452</v>
      </c>
      <c r="N696" s="59">
        <f t="shared" si="142"/>
        <v>710.40114692312636</v>
      </c>
      <c r="O696" s="59">
        <f t="shared" si="142"/>
        <v>988.7915208697832</v>
      </c>
      <c r="P696" s="59">
        <f t="shared" si="142"/>
        <v>758.93461118173582</v>
      </c>
      <c r="Q696" s="59">
        <f t="shared" si="142"/>
        <v>845.84529644289796</v>
      </c>
      <c r="R696" s="59">
        <f t="shared" si="142"/>
        <v>840.11790906790884</v>
      </c>
      <c r="S696" s="59">
        <f t="shared" si="142"/>
        <v>764.31691790417972</v>
      </c>
      <c r="T696" s="59">
        <f t="shared" si="142"/>
        <v>614.17074136224983</v>
      </c>
      <c r="U696" s="59">
        <f t="shared" si="142"/>
        <v>506.48300114632366</v>
      </c>
      <c r="V696" s="59">
        <f t="shared" si="142"/>
        <v>621.18931636726484</v>
      </c>
      <c r="W696" s="59">
        <f t="shared" si="142"/>
        <v>807.58512714370227</v>
      </c>
      <c r="X696" s="59">
        <f t="shared" si="142"/>
        <v>813.8410273753816</v>
      </c>
      <c r="Y696" s="59">
        <f t="shared" si="142"/>
        <v>1572.8381388207599</v>
      </c>
      <c r="Z696" s="59">
        <f t="shared" si="142"/>
        <v>1330.4673821186461</v>
      </c>
      <c r="AA696" s="59" t="e">
        <f t="shared" si="142"/>
        <v>#DIV/0!</v>
      </c>
      <c r="AB696" s="59" t="e">
        <f t="shared" si="142"/>
        <v>#DIV/0!</v>
      </c>
      <c r="AC696" s="59" t="e">
        <f t="shared" si="142"/>
        <v>#DIV/0!</v>
      </c>
      <c r="AD696" s="59" t="e">
        <f t="shared" si="142"/>
        <v>#DIV/0!</v>
      </c>
      <c r="AE696" s="59" t="e">
        <f t="shared" si="142"/>
        <v>#DIV/0!</v>
      </c>
      <c r="AF696" s="59" t="e">
        <f t="shared" si="142"/>
        <v>#DIV/0!</v>
      </c>
      <c r="AG696" s="59" t="e">
        <f t="shared" si="142"/>
        <v>#DIV/0!</v>
      </c>
      <c r="AH696" s="59" t="e">
        <f t="shared" si="142"/>
        <v>#DIV/0!</v>
      </c>
      <c r="AI696" s="59" t="e">
        <f t="shared" si="142"/>
        <v>#DIV/0!</v>
      </c>
      <c r="AJ696" s="59" t="e">
        <f t="shared" si="142"/>
        <v>#DIV/0!</v>
      </c>
      <c r="AK696" s="59" t="e">
        <f t="shared" si="142"/>
        <v>#DIV/0!</v>
      </c>
    </row>
    <row r="697" spans="1:37" s="9" customFormat="1" x14ac:dyDescent="0.25">
      <c r="A697" s="9" t="s">
        <v>464</v>
      </c>
      <c r="B697" s="85">
        <f>AVERAGE(Z698:Z699,Z704:Z705)</f>
        <v>589.46738211864613</v>
      </c>
      <c r="C697" s="51"/>
      <c r="F697" s="9" t="s">
        <v>316</v>
      </c>
      <c r="H697" s="9" t="s">
        <v>1267</v>
      </c>
      <c r="I697" s="59">
        <f t="shared" ref="I697:AK697" si="143">I426</f>
        <v>574.07952349283732</v>
      </c>
      <c r="J697" s="59">
        <f t="shared" si="143"/>
        <v>549.58296693818556</v>
      </c>
      <c r="K697" s="59">
        <f t="shared" si="143"/>
        <v>317.74344043777091</v>
      </c>
      <c r="L697" s="59">
        <f t="shared" si="143"/>
        <v>291.52401426411234</v>
      </c>
      <c r="M697" s="59">
        <f t="shared" si="143"/>
        <v>621.50763287260452</v>
      </c>
      <c r="N697" s="59">
        <f t="shared" si="143"/>
        <v>668.40114692312636</v>
      </c>
      <c r="O697" s="59">
        <f t="shared" si="143"/>
        <v>818.7915208697832</v>
      </c>
      <c r="P697" s="59">
        <f t="shared" si="143"/>
        <v>573.93461118173582</v>
      </c>
      <c r="Q697" s="59">
        <f t="shared" si="143"/>
        <v>674.84529644289796</v>
      </c>
      <c r="R697" s="59">
        <f t="shared" si="143"/>
        <v>768.11790906790884</v>
      </c>
      <c r="S697" s="59">
        <f t="shared" si="143"/>
        <v>601.31691790417972</v>
      </c>
      <c r="T697" s="59">
        <f t="shared" si="143"/>
        <v>563.17074136224983</v>
      </c>
      <c r="U697" s="59">
        <f t="shared" si="143"/>
        <v>482.48300114632366</v>
      </c>
      <c r="V697" s="59">
        <f t="shared" si="143"/>
        <v>655.18931636726484</v>
      </c>
      <c r="W697" s="59">
        <f t="shared" si="143"/>
        <v>794.58512714370227</v>
      </c>
      <c r="X697" s="59">
        <f t="shared" si="143"/>
        <v>692.8410273753816</v>
      </c>
      <c r="Y697" s="59">
        <f t="shared" si="143"/>
        <v>1445.8381388207599</v>
      </c>
      <c r="Z697" s="59">
        <f t="shared" si="143"/>
        <v>1205.4673821186461</v>
      </c>
      <c r="AA697" s="59" t="e">
        <f t="shared" si="143"/>
        <v>#DIV/0!</v>
      </c>
      <c r="AB697" s="59" t="e">
        <f t="shared" si="143"/>
        <v>#DIV/0!</v>
      </c>
      <c r="AC697" s="59" t="e">
        <f t="shared" si="143"/>
        <v>#DIV/0!</v>
      </c>
      <c r="AD697" s="59" t="e">
        <f t="shared" si="143"/>
        <v>#DIV/0!</v>
      </c>
      <c r="AE697" s="59" t="e">
        <f t="shared" si="143"/>
        <v>#DIV/0!</v>
      </c>
      <c r="AF697" s="59" t="e">
        <f t="shared" si="143"/>
        <v>#DIV/0!</v>
      </c>
      <c r="AG697" s="59" t="e">
        <f t="shared" si="143"/>
        <v>#DIV/0!</v>
      </c>
      <c r="AH697" s="59" t="e">
        <f t="shared" si="143"/>
        <v>#DIV/0!</v>
      </c>
      <c r="AI697" s="59" t="e">
        <f t="shared" si="143"/>
        <v>#DIV/0!</v>
      </c>
      <c r="AJ697" s="59" t="e">
        <f t="shared" si="143"/>
        <v>#DIV/0!</v>
      </c>
      <c r="AK697" s="59" t="e">
        <f t="shared" si="143"/>
        <v>#DIV/0!</v>
      </c>
    </row>
    <row r="698" spans="1:37" s="9" customFormat="1" x14ac:dyDescent="0.25">
      <c r="B698" s="66"/>
      <c r="C698" s="51"/>
      <c r="F698" s="9" t="s">
        <v>317</v>
      </c>
      <c r="H698" s="9" t="s">
        <v>1267</v>
      </c>
      <c r="I698" s="59">
        <f t="shared" ref="I698:AK698" si="144">I427</f>
        <v>141.07952349283732</v>
      </c>
      <c r="J698" s="59">
        <f t="shared" si="144"/>
        <v>-52.417033061814436</v>
      </c>
      <c r="K698" s="59">
        <f t="shared" si="144"/>
        <v>98.743440437770914</v>
      </c>
      <c r="L698" s="59">
        <f t="shared" si="144"/>
        <v>-57.475985735887662</v>
      </c>
      <c r="M698" s="59">
        <f t="shared" si="144"/>
        <v>-73.492367127395482</v>
      </c>
      <c r="N698" s="59">
        <f t="shared" si="144"/>
        <v>196.40114692312636</v>
      </c>
      <c r="O698" s="59">
        <f t="shared" si="144"/>
        <v>27.791520869783199</v>
      </c>
      <c r="P698" s="59">
        <f t="shared" si="144"/>
        <v>-246.06538881826418</v>
      </c>
      <c r="Q698" s="59">
        <f t="shared" si="144"/>
        <v>-139.15470355710204</v>
      </c>
      <c r="R698" s="59">
        <f t="shared" si="144"/>
        <v>-384.88209093209116</v>
      </c>
      <c r="S698" s="59">
        <f t="shared" si="144"/>
        <v>-95.683082095820282</v>
      </c>
      <c r="T698" s="59">
        <f t="shared" si="144"/>
        <v>-149.82925863775017</v>
      </c>
      <c r="U698" s="59">
        <f t="shared" si="144"/>
        <v>-384.51699885367634</v>
      </c>
      <c r="V698" s="59">
        <f t="shared" si="144"/>
        <v>-259.81068363273516</v>
      </c>
      <c r="W698" s="59">
        <f t="shared" si="144"/>
        <v>-211.41487285629773</v>
      </c>
      <c r="X698" s="59">
        <f t="shared" si="144"/>
        <v>-338.1589726246184</v>
      </c>
      <c r="Y698" s="59">
        <f t="shared" si="144"/>
        <v>588.83813882075992</v>
      </c>
      <c r="Z698" s="59">
        <f t="shared" si="144"/>
        <v>100.46738211864613</v>
      </c>
      <c r="AA698" s="59" t="e">
        <f t="shared" si="144"/>
        <v>#DIV/0!</v>
      </c>
      <c r="AB698" s="59" t="e">
        <f t="shared" si="144"/>
        <v>#DIV/0!</v>
      </c>
      <c r="AC698" s="59" t="e">
        <f t="shared" si="144"/>
        <v>#DIV/0!</v>
      </c>
      <c r="AD698" s="59" t="e">
        <f t="shared" si="144"/>
        <v>#DIV/0!</v>
      </c>
      <c r="AE698" s="59" t="e">
        <f t="shared" si="144"/>
        <v>#DIV/0!</v>
      </c>
      <c r="AF698" s="59" t="e">
        <f t="shared" si="144"/>
        <v>#DIV/0!</v>
      </c>
      <c r="AG698" s="59" t="e">
        <f t="shared" si="144"/>
        <v>#DIV/0!</v>
      </c>
      <c r="AH698" s="59" t="e">
        <f t="shared" si="144"/>
        <v>#DIV/0!</v>
      </c>
      <c r="AI698" s="59" t="e">
        <f t="shared" si="144"/>
        <v>#DIV/0!</v>
      </c>
      <c r="AJ698" s="59" t="e">
        <f t="shared" si="144"/>
        <v>#DIV/0!</v>
      </c>
      <c r="AK698" s="59" t="e">
        <f t="shared" si="144"/>
        <v>#DIV/0!</v>
      </c>
    </row>
    <row r="699" spans="1:37" s="9" customFormat="1" x14ac:dyDescent="0.25">
      <c r="B699" s="66"/>
      <c r="C699" s="51"/>
      <c r="F699" s="9" t="s">
        <v>318</v>
      </c>
      <c r="H699" s="9" t="s">
        <v>1267</v>
      </c>
      <c r="I699" s="59">
        <f t="shared" ref="I699:AK699" si="145">I428</f>
        <v>1007.0795234928373</v>
      </c>
      <c r="J699" s="59">
        <f t="shared" si="145"/>
        <v>579.58296693818556</v>
      </c>
      <c r="K699" s="59">
        <f t="shared" si="145"/>
        <v>410.74344043777091</v>
      </c>
      <c r="L699" s="59">
        <f t="shared" si="145"/>
        <v>349.52401426411234</v>
      </c>
      <c r="M699" s="59">
        <f t="shared" si="145"/>
        <v>530.50763287260452</v>
      </c>
      <c r="N699" s="59">
        <f t="shared" si="145"/>
        <v>807.40114692312636</v>
      </c>
      <c r="O699" s="59">
        <f t="shared" si="145"/>
        <v>938.7915208697832</v>
      </c>
      <c r="P699" s="59">
        <f t="shared" si="145"/>
        <v>489.93461118173582</v>
      </c>
      <c r="Q699" s="59">
        <f t="shared" si="145"/>
        <v>633.84529644289796</v>
      </c>
      <c r="R699" s="59">
        <f t="shared" si="145"/>
        <v>396.11790906790884</v>
      </c>
      <c r="S699" s="59">
        <f t="shared" si="145"/>
        <v>379.31691790417972</v>
      </c>
      <c r="T699" s="59">
        <f t="shared" si="145"/>
        <v>281.17074136224983</v>
      </c>
      <c r="U699" s="59">
        <f t="shared" si="145"/>
        <v>81.483001146323659</v>
      </c>
      <c r="V699" s="59">
        <f t="shared" si="145"/>
        <v>484.18931636726484</v>
      </c>
      <c r="W699" s="59">
        <f t="shared" si="145"/>
        <v>706.58512714370227</v>
      </c>
      <c r="X699" s="59">
        <f t="shared" si="145"/>
        <v>564.8410273753816</v>
      </c>
      <c r="Y699" s="59">
        <f t="shared" si="145"/>
        <v>1324.8381388207599</v>
      </c>
      <c r="Z699" s="59">
        <f t="shared" si="145"/>
        <v>993.46738211864613</v>
      </c>
      <c r="AA699" s="59" t="e">
        <f t="shared" si="145"/>
        <v>#DIV/0!</v>
      </c>
      <c r="AB699" s="59" t="e">
        <f t="shared" si="145"/>
        <v>#DIV/0!</v>
      </c>
      <c r="AC699" s="59" t="e">
        <f t="shared" si="145"/>
        <v>#DIV/0!</v>
      </c>
      <c r="AD699" s="59" t="e">
        <f t="shared" si="145"/>
        <v>#DIV/0!</v>
      </c>
      <c r="AE699" s="59" t="e">
        <f t="shared" si="145"/>
        <v>#DIV/0!</v>
      </c>
      <c r="AF699" s="59" t="e">
        <f t="shared" si="145"/>
        <v>#DIV/0!</v>
      </c>
      <c r="AG699" s="59" t="e">
        <f t="shared" si="145"/>
        <v>#DIV/0!</v>
      </c>
      <c r="AH699" s="59" t="e">
        <f t="shared" si="145"/>
        <v>#DIV/0!</v>
      </c>
      <c r="AI699" s="59" t="e">
        <f t="shared" si="145"/>
        <v>#DIV/0!</v>
      </c>
      <c r="AJ699" s="59" t="e">
        <f t="shared" si="145"/>
        <v>#DIV/0!</v>
      </c>
      <c r="AK699" s="59" t="e">
        <f t="shared" si="145"/>
        <v>#DIV/0!</v>
      </c>
    </row>
    <row r="700" spans="1:37" s="9" customFormat="1" x14ac:dyDescent="0.25">
      <c r="B700" s="66"/>
      <c r="C700" s="51"/>
      <c r="F700" s="9" t="s">
        <v>319</v>
      </c>
      <c r="H700" s="9" t="s">
        <v>1267</v>
      </c>
      <c r="I700" s="59">
        <f t="shared" ref="I700:AK700" si="146">I429</f>
        <v>3524.0795234928373</v>
      </c>
      <c r="J700" s="59">
        <f t="shared" si="146"/>
        <v>2860.5829669381856</v>
      </c>
      <c r="K700" s="59">
        <f t="shared" si="146"/>
        <v>2830.7434404377709</v>
      </c>
      <c r="L700" s="59">
        <f t="shared" si="146"/>
        <v>2621.5240142641123</v>
      </c>
      <c r="M700" s="59">
        <f t="shared" si="146"/>
        <v>2996.5076328726045</v>
      </c>
      <c r="N700" s="59">
        <f t="shared" si="146"/>
        <v>3137.4011469231264</v>
      </c>
      <c r="O700" s="59">
        <f t="shared" si="146"/>
        <v>3244.7915208697832</v>
      </c>
      <c r="P700" s="59">
        <f t="shared" si="146"/>
        <v>2596.9346111817358</v>
      </c>
      <c r="Q700" s="59">
        <f t="shared" si="146"/>
        <v>2686.845296442898</v>
      </c>
      <c r="R700" s="59">
        <f t="shared" si="146"/>
        <v>2696.1179090679088</v>
      </c>
      <c r="S700" s="59">
        <f t="shared" si="146"/>
        <v>2749.3169179041797</v>
      </c>
      <c r="T700" s="59">
        <f t="shared" si="146"/>
        <v>2919.1707413622498</v>
      </c>
      <c r="U700" s="59">
        <f t="shared" si="146"/>
        <v>2771.4830011463237</v>
      </c>
      <c r="V700" s="59">
        <f t="shared" si="146"/>
        <v>2938.1893163672648</v>
      </c>
      <c r="W700" s="59">
        <f t="shared" si="146"/>
        <v>3296.5851271437023</v>
      </c>
      <c r="X700" s="59">
        <f t="shared" si="146"/>
        <v>2991.8410273753816</v>
      </c>
      <c r="Y700" s="59">
        <f t="shared" si="146"/>
        <v>3684.8381388207599</v>
      </c>
      <c r="Z700" s="59">
        <f t="shared" si="146"/>
        <v>3252.4673821186461</v>
      </c>
      <c r="AA700" s="59" t="e">
        <f t="shared" si="146"/>
        <v>#DIV/0!</v>
      </c>
      <c r="AB700" s="59" t="e">
        <f t="shared" si="146"/>
        <v>#DIV/0!</v>
      </c>
      <c r="AC700" s="59" t="e">
        <f t="shared" si="146"/>
        <v>#DIV/0!</v>
      </c>
      <c r="AD700" s="59" t="e">
        <f t="shared" si="146"/>
        <v>#DIV/0!</v>
      </c>
      <c r="AE700" s="59" t="e">
        <f t="shared" si="146"/>
        <v>#DIV/0!</v>
      </c>
      <c r="AF700" s="59" t="e">
        <f t="shared" si="146"/>
        <v>#DIV/0!</v>
      </c>
      <c r="AG700" s="59" t="e">
        <f t="shared" si="146"/>
        <v>#DIV/0!</v>
      </c>
      <c r="AH700" s="59" t="e">
        <f t="shared" si="146"/>
        <v>#DIV/0!</v>
      </c>
      <c r="AI700" s="59" t="e">
        <f t="shared" si="146"/>
        <v>#DIV/0!</v>
      </c>
      <c r="AJ700" s="59" t="e">
        <f t="shared" si="146"/>
        <v>#DIV/0!</v>
      </c>
      <c r="AK700" s="59" t="e">
        <f t="shared" si="146"/>
        <v>#DIV/0!</v>
      </c>
    </row>
    <row r="701" spans="1:37" s="9" customFormat="1" x14ac:dyDescent="0.25">
      <c r="B701" s="66"/>
      <c r="C701" s="51"/>
      <c r="F701" s="9" t="s">
        <v>320</v>
      </c>
      <c r="H701" s="9" t="s">
        <v>1267</v>
      </c>
      <c r="I701" s="59">
        <f t="shared" ref="I701:AK701" si="147">I430</f>
        <v>4773.0795234928373</v>
      </c>
      <c r="J701" s="59">
        <f t="shared" si="147"/>
        <v>4057.5829669381856</v>
      </c>
      <c r="K701" s="59">
        <f t="shared" si="147"/>
        <v>3878.7434404377709</v>
      </c>
      <c r="L701" s="59">
        <f t="shared" si="147"/>
        <v>3766.5240142641123</v>
      </c>
      <c r="M701" s="59">
        <f t="shared" si="147"/>
        <v>4142.5076328726045</v>
      </c>
      <c r="N701" s="59">
        <f t="shared" si="147"/>
        <v>4089.4011469231264</v>
      </c>
      <c r="O701" s="59">
        <f t="shared" si="147"/>
        <v>3927.7915208697832</v>
      </c>
      <c r="P701" s="59">
        <f t="shared" si="147"/>
        <v>3413.9346111817358</v>
      </c>
      <c r="Q701" s="59">
        <f t="shared" si="147"/>
        <v>3548.845296442898</v>
      </c>
      <c r="R701" s="59">
        <f t="shared" si="147"/>
        <v>3762.1179090679088</v>
      </c>
      <c r="S701" s="59">
        <f t="shared" si="147"/>
        <v>3569.3169179041797</v>
      </c>
      <c r="T701" s="59">
        <f t="shared" si="147"/>
        <v>3648.1707413622498</v>
      </c>
      <c r="U701" s="59">
        <f t="shared" si="147"/>
        <v>3627.4830011463237</v>
      </c>
      <c r="V701" s="59">
        <f t="shared" si="147"/>
        <v>3791.1893163672648</v>
      </c>
      <c r="W701" s="59">
        <f t="shared" si="147"/>
        <v>4251.5851271437023</v>
      </c>
      <c r="X701" s="59">
        <f t="shared" si="147"/>
        <v>4043.8410273753816</v>
      </c>
      <c r="Y701" s="59">
        <f t="shared" si="147"/>
        <v>4668.8381388207599</v>
      </c>
      <c r="Z701" s="59">
        <f t="shared" si="147"/>
        <v>4230.4673821186461</v>
      </c>
      <c r="AA701" s="59" t="e">
        <f t="shared" si="147"/>
        <v>#DIV/0!</v>
      </c>
      <c r="AB701" s="59" t="e">
        <f t="shared" si="147"/>
        <v>#DIV/0!</v>
      </c>
      <c r="AC701" s="59" t="e">
        <f t="shared" si="147"/>
        <v>#DIV/0!</v>
      </c>
      <c r="AD701" s="59" t="e">
        <f t="shared" si="147"/>
        <v>#DIV/0!</v>
      </c>
      <c r="AE701" s="59" t="e">
        <f t="shared" si="147"/>
        <v>#DIV/0!</v>
      </c>
      <c r="AF701" s="59" t="e">
        <f t="shared" si="147"/>
        <v>#DIV/0!</v>
      </c>
      <c r="AG701" s="59" t="e">
        <f t="shared" si="147"/>
        <v>#DIV/0!</v>
      </c>
      <c r="AH701" s="59" t="e">
        <f t="shared" si="147"/>
        <v>#DIV/0!</v>
      </c>
      <c r="AI701" s="59" t="e">
        <f t="shared" si="147"/>
        <v>#DIV/0!</v>
      </c>
      <c r="AJ701" s="59" t="e">
        <f t="shared" si="147"/>
        <v>#DIV/0!</v>
      </c>
      <c r="AK701" s="59" t="e">
        <f t="shared" si="147"/>
        <v>#DIV/0!</v>
      </c>
    </row>
    <row r="702" spans="1:37" s="9" customFormat="1" x14ac:dyDescent="0.25">
      <c r="B702" s="66"/>
      <c r="C702" s="51"/>
      <c r="F702" s="9" t="s">
        <v>321</v>
      </c>
      <c r="H702" s="9" t="s">
        <v>1267</v>
      </c>
      <c r="I702" s="59">
        <f t="shared" ref="I702:AK702" si="148">I431</f>
        <v>4394.0795234928373</v>
      </c>
      <c r="J702" s="59">
        <f t="shared" si="148"/>
        <v>3781.5829669381856</v>
      </c>
      <c r="K702" s="59">
        <f t="shared" si="148"/>
        <v>3579.7434404377709</v>
      </c>
      <c r="L702" s="59">
        <f t="shared" si="148"/>
        <v>3566.5240142641123</v>
      </c>
      <c r="M702" s="59">
        <f t="shared" si="148"/>
        <v>3797.5076328726045</v>
      </c>
      <c r="N702" s="59">
        <f t="shared" si="148"/>
        <v>3882.4011469231264</v>
      </c>
      <c r="O702" s="59">
        <f t="shared" si="148"/>
        <v>3612.7915208697832</v>
      </c>
      <c r="P702" s="59">
        <f t="shared" si="148"/>
        <v>3243.9346111817358</v>
      </c>
      <c r="Q702" s="59">
        <f t="shared" si="148"/>
        <v>3306.845296442898</v>
      </c>
      <c r="R702" s="59">
        <f t="shared" si="148"/>
        <v>3500.1179090679088</v>
      </c>
      <c r="S702" s="59">
        <f t="shared" si="148"/>
        <v>3404.3169179041797</v>
      </c>
      <c r="T702" s="59">
        <f t="shared" si="148"/>
        <v>3634.1707413622498</v>
      </c>
      <c r="U702" s="59">
        <f t="shared" si="148"/>
        <v>3514.4830011463237</v>
      </c>
      <c r="V702" s="59">
        <f t="shared" si="148"/>
        <v>3628.1893163672648</v>
      </c>
      <c r="W702" s="59">
        <f t="shared" si="148"/>
        <v>3993.5851271437023</v>
      </c>
      <c r="X702" s="59">
        <f t="shared" si="148"/>
        <v>3841.8410273753816</v>
      </c>
      <c r="Y702" s="59">
        <f t="shared" si="148"/>
        <v>4360.8381388207599</v>
      </c>
      <c r="Z702" s="59">
        <f t="shared" si="148"/>
        <v>4051.4673821186461</v>
      </c>
      <c r="AA702" s="59" t="e">
        <f t="shared" si="148"/>
        <v>#DIV/0!</v>
      </c>
      <c r="AB702" s="59" t="e">
        <f t="shared" si="148"/>
        <v>#DIV/0!</v>
      </c>
      <c r="AC702" s="59" t="e">
        <f t="shared" si="148"/>
        <v>#DIV/0!</v>
      </c>
      <c r="AD702" s="59" t="e">
        <f t="shared" si="148"/>
        <v>#DIV/0!</v>
      </c>
      <c r="AE702" s="59" t="e">
        <f t="shared" si="148"/>
        <v>#DIV/0!</v>
      </c>
      <c r="AF702" s="59" t="e">
        <f t="shared" si="148"/>
        <v>#DIV/0!</v>
      </c>
      <c r="AG702" s="59" t="e">
        <f t="shared" si="148"/>
        <v>#DIV/0!</v>
      </c>
      <c r="AH702" s="59" t="e">
        <f t="shared" si="148"/>
        <v>#DIV/0!</v>
      </c>
      <c r="AI702" s="59" t="e">
        <f t="shared" si="148"/>
        <v>#DIV/0!</v>
      </c>
      <c r="AJ702" s="59" t="e">
        <f t="shared" si="148"/>
        <v>#DIV/0!</v>
      </c>
      <c r="AK702" s="59" t="e">
        <f t="shared" si="148"/>
        <v>#DIV/0!</v>
      </c>
    </row>
    <row r="703" spans="1:37" s="9" customFormat="1" x14ac:dyDescent="0.25">
      <c r="B703" s="66"/>
      <c r="C703" s="51"/>
      <c r="F703" s="9" t="s">
        <v>322</v>
      </c>
      <c r="H703" s="9" t="s">
        <v>1267</v>
      </c>
      <c r="I703" s="59">
        <f t="shared" ref="I703:AK703" si="149">I432</f>
        <v>3140.0795234928373</v>
      </c>
      <c r="J703" s="59">
        <f t="shared" si="149"/>
        <v>2347.5829669381856</v>
      </c>
      <c r="K703" s="59">
        <f t="shared" si="149"/>
        <v>2303.7434404377709</v>
      </c>
      <c r="L703" s="59">
        <f t="shared" si="149"/>
        <v>2329.5240142641123</v>
      </c>
      <c r="M703" s="59">
        <f t="shared" si="149"/>
        <v>2369.5076328726045</v>
      </c>
      <c r="N703" s="59">
        <f t="shared" si="149"/>
        <v>2708.4011469231264</v>
      </c>
      <c r="O703" s="59">
        <f t="shared" si="149"/>
        <v>2214.7915208697832</v>
      </c>
      <c r="P703" s="59">
        <f t="shared" si="149"/>
        <v>2148.9346111817358</v>
      </c>
      <c r="Q703" s="59">
        <f t="shared" si="149"/>
        <v>2275.845296442898</v>
      </c>
      <c r="R703" s="59">
        <f t="shared" si="149"/>
        <v>2390.1179090679088</v>
      </c>
      <c r="S703" s="59">
        <f t="shared" si="149"/>
        <v>2267.3169179041797</v>
      </c>
      <c r="T703" s="59">
        <f t="shared" si="149"/>
        <v>2452.1707413622498</v>
      </c>
      <c r="U703" s="59">
        <f t="shared" si="149"/>
        <v>2180.4830011463237</v>
      </c>
      <c r="V703" s="59">
        <f t="shared" si="149"/>
        <v>2404.1893163672648</v>
      </c>
      <c r="W703" s="59">
        <f t="shared" si="149"/>
        <v>2758.5851271437023</v>
      </c>
      <c r="X703" s="59">
        <f t="shared" si="149"/>
        <v>2436.8410273753816</v>
      </c>
      <c r="Y703" s="59">
        <f t="shared" si="149"/>
        <v>3095.8381388207599</v>
      </c>
      <c r="Z703" s="59">
        <f t="shared" si="149"/>
        <v>2733.4673821186461</v>
      </c>
      <c r="AA703" s="59" t="e">
        <f t="shared" si="149"/>
        <v>#DIV/0!</v>
      </c>
      <c r="AB703" s="59" t="e">
        <f t="shared" si="149"/>
        <v>#DIV/0!</v>
      </c>
      <c r="AC703" s="59" t="e">
        <f t="shared" si="149"/>
        <v>#DIV/0!</v>
      </c>
      <c r="AD703" s="59" t="e">
        <f t="shared" si="149"/>
        <v>#DIV/0!</v>
      </c>
      <c r="AE703" s="59" t="e">
        <f t="shared" si="149"/>
        <v>#DIV/0!</v>
      </c>
      <c r="AF703" s="59" t="e">
        <f t="shared" si="149"/>
        <v>#DIV/0!</v>
      </c>
      <c r="AG703" s="59" t="e">
        <f t="shared" si="149"/>
        <v>#DIV/0!</v>
      </c>
      <c r="AH703" s="59" t="e">
        <f t="shared" si="149"/>
        <v>#DIV/0!</v>
      </c>
      <c r="AI703" s="59" t="e">
        <f t="shared" si="149"/>
        <v>#DIV/0!</v>
      </c>
      <c r="AJ703" s="59" t="e">
        <f t="shared" si="149"/>
        <v>#DIV/0!</v>
      </c>
      <c r="AK703" s="59" t="e">
        <f t="shared" si="149"/>
        <v>#DIV/0!</v>
      </c>
    </row>
    <row r="704" spans="1:37" s="9" customFormat="1" x14ac:dyDescent="0.25">
      <c r="B704" s="66"/>
      <c r="C704" s="51"/>
      <c r="F704" s="9" t="s">
        <v>323</v>
      </c>
      <c r="H704" s="9" t="s">
        <v>1267</v>
      </c>
      <c r="I704" s="59">
        <f t="shared" ref="I704:AK704" si="150">I433</f>
        <v>1141.0795234928373</v>
      </c>
      <c r="J704" s="59">
        <f t="shared" si="150"/>
        <v>545.58296693818556</v>
      </c>
      <c r="K704" s="59">
        <f t="shared" si="150"/>
        <v>860.74344043777091</v>
      </c>
      <c r="L704" s="59">
        <f t="shared" si="150"/>
        <v>1069.5240142641123</v>
      </c>
      <c r="M704" s="59">
        <f t="shared" si="150"/>
        <v>963.50763287260452</v>
      </c>
      <c r="N704" s="59">
        <f t="shared" si="150"/>
        <v>1122.4011469231264</v>
      </c>
      <c r="O704" s="59">
        <f t="shared" si="150"/>
        <v>794.7915208697832</v>
      </c>
      <c r="P704" s="59">
        <f t="shared" si="150"/>
        <v>860.93461118173582</v>
      </c>
      <c r="Q704" s="59">
        <f t="shared" si="150"/>
        <v>940.84529644289796</v>
      </c>
      <c r="R704" s="59">
        <f t="shared" si="150"/>
        <v>1224.1179090679088</v>
      </c>
      <c r="S704" s="59">
        <f t="shared" si="150"/>
        <v>1224.3169179041797</v>
      </c>
      <c r="T704" s="59">
        <f t="shared" si="150"/>
        <v>1273.1707413622498</v>
      </c>
      <c r="U704" s="59">
        <f t="shared" si="150"/>
        <v>1061.4830011463237</v>
      </c>
      <c r="V704" s="59">
        <f t="shared" si="150"/>
        <v>1217.1893163672648</v>
      </c>
      <c r="W704" s="59">
        <f t="shared" si="150"/>
        <v>1478.5851271437023</v>
      </c>
      <c r="X704" s="59">
        <f t="shared" si="150"/>
        <v>1201.8410273753816</v>
      </c>
      <c r="Y704" s="59">
        <f t="shared" si="150"/>
        <v>1772.8381388207599</v>
      </c>
      <c r="Z704" s="59">
        <f t="shared" si="150"/>
        <v>1474.4673821186461</v>
      </c>
      <c r="AA704" s="59" t="e">
        <f t="shared" si="150"/>
        <v>#DIV/0!</v>
      </c>
      <c r="AB704" s="59" t="e">
        <f t="shared" si="150"/>
        <v>#DIV/0!</v>
      </c>
      <c r="AC704" s="59" t="e">
        <f t="shared" si="150"/>
        <v>#DIV/0!</v>
      </c>
      <c r="AD704" s="59" t="e">
        <f t="shared" si="150"/>
        <v>#DIV/0!</v>
      </c>
      <c r="AE704" s="59" t="e">
        <f t="shared" si="150"/>
        <v>#DIV/0!</v>
      </c>
      <c r="AF704" s="59" t="e">
        <f t="shared" si="150"/>
        <v>#DIV/0!</v>
      </c>
      <c r="AG704" s="59" t="e">
        <f t="shared" si="150"/>
        <v>#DIV/0!</v>
      </c>
      <c r="AH704" s="59" t="e">
        <f t="shared" si="150"/>
        <v>#DIV/0!</v>
      </c>
      <c r="AI704" s="59" t="e">
        <f t="shared" si="150"/>
        <v>#DIV/0!</v>
      </c>
      <c r="AJ704" s="59" t="e">
        <f t="shared" si="150"/>
        <v>#DIV/0!</v>
      </c>
      <c r="AK704" s="59" t="e">
        <f t="shared" si="150"/>
        <v>#DIV/0!</v>
      </c>
    </row>
    <row r="705" spans="2:37" s="9" customFormat="1" x14ac:dyDescent="0.25">
      <c r="B705" s="66"/>
      <c r="C705" s="51"/>
      <c r="F705" s="9" t="s">
        <v>324</v>
      </c>
      <c r="H705" s="9" t="s">
        <v>1267</v>
      </c>
      <c r="I705" s="59">
        <f t="shared" ref="I705:AK705" si="151">I434</f>
        <v>306.07952349283732</v>
      </c>
      <c r="J705" s="59">
        <f t="shared" si="151"/>
        <v>-13.417033061814436</v>
      </c>
      <c r="K705" s="59">
        <f t="shared" si="151"/>
        <v>-174.25655956222909</v>
      </c>
      <c r="L705" s="59">
        <f t="shared" si="151"/>
        <v>-207.47598573588766</v>
      </c>
      <c r="M705" s="59">
        <f t="shared" si="151"/>
        <v>-44.492367127395482</v>
      </c>
      <c r="N705" s="59">
        <f t="shared" si="151"/>
        <v>151.40114692312636</v>
      </c>
      <c r="O705" s="59">
        <f t="shared" si="151"/>
        <v>-450.2084791302168</v>
      </c>
      <c r="P705" s="59">
        <f t="shared" si="151"/>
        <v>-508.06538881826418</v>
      </c>
      <c r="Q705" s="59">
        <f t="shared" si="151"/>
        <v>-514.15470355710204</v>
      </c>
      <c r="R705" s="59">
        <f t="shared" si="151"/>
        <v>-377.88209093209116</v>
      </c>
      <c r="S705" s="59">
        <f t="shared" si="151"/>
        <v>-43.683082095820282</v>
      </c>
      <c r="T705" s="59">
        <f t="shared" si="151"/>
        <v>-239.82925863775017</v>
      </c>
      <c r="U705" s="59">
        <f t="shared" si="151"/>
        <v>-699.51699885367634</v>
      </c>
      <c r="V705" s="59">
        <f t="shared" si="151"/>
        <v>-520.81068363273516</v>
      </c>
      <c r="W705" s="59">
        <f t="shared" si="151"/>
        <v>-313.41487285629773</v>
      </c>
      <c r="X705" s="59">
        <f t="shared" si="151"/>
        <v>-585.1589726246184</v>
      </c>
      <c r="Y705" s="59">
        <f t="shared" si="151"/>
        <v>-22.161861179240077</v>
      </c>
      <c r="Z705" s="59">
        <f t="shared" si="151"/>
        <v>-210.53261788135387</v>
      </c>
      <c r="AA705" s="59" t="e">
        <f t="shared" si="151"/>
        <v>#DIV/0!</v>
      </c>
      <c r="AB705" s="59" t="e">
        <f t="shared" si="151"/>
        <v>#DIV/0!</v>
      </c>
      <c r="AC705" s="59" t="e">
        <f t="shared" si="151"/>
        <v>#DIV/0!</v>
      </c>
      <c r="AD705" s="59" t="e">
        <f t="shared" si="151"/>
        <v>#DIV/0!</v>
      </c>
      <c r="AE705" s="59" t="e">
        <f t="shared" si="151"/>
        <v>#DIV/0!</v>
      </c>
      <c r="AF705" s="59" t="e">
        <f t="shared" si="151"/>
        <v>#DIV/0!</v>
      </c>
      <c r="AG705" s="59" t="e">
        <f t="shared" si="151"/>
        <v>#DIV/0!</v>
      </c>
      <c r="AH705" s="59" t="e">
        <f t="shared" si="151"/>
        <v>#DIV/0!</v>
      </c>
      <c r="AI705" s="59" t="e">
        <f t="shared" si="151"/>
        <v>#DIV/0!</v>
      </c>
      <c r="AJ705" s="59" t="e">
        <f t="shared" si="151"/>
        <v>#DIV/0!</v>
      </c>
      <c r="AK705" s="59" t="e">
        <f t="shared" si="151"/>
        <v>#DIV/0!</v>
      </c>
    </row>
    <row r="706" spans="2:37" s="9" customFormat="1" x14ac:dyDescent="0.25">
      <c r="B706" s="66"/>
      <c r="C706" s="51"/>
      <c r="F706" s="9" t="s">
        <v>325</v>
      </c>
      <c r="H706" s="9" t="s">
        <v>1267</v>
      </c>
      <c r="I706" s="59">
        <f t="shared" ref="I706:AK706" si="152">I435</f>
        <v>1176.0795234928373</v>
      </c>
      <c r="J706" s="59">
        <f t="shared" si="152"/>
        <v>732.58296693818556</v>
      </c>
      <c r="K706" s="59">
        <f t="shared" si="152"/>
        <v>675.74344043777091</v>
      </c>
      <c r="L706" s="59">
        <f t="shared" si="152"/>
        <v>727.52401426411234</v>
      </c>
      <c r="M706" s="59">
        <f t="shared" si="152"/>
        <v>851.50763287260452</v>
      </c>
      <c r="N706" s="59">
        <f t="shared" si="152"/>
        <v>1011.4011469231264</v>
      </c>
      <c r="O706" s="59">
        <f t="shared" si="152"/>
        <v>199.7915208697832</v>
      </c>
      <c r="P706" s="59">
        <f t="shared" si="152"/>
        <v>663.93461118173582</v>
      </c>
      <c r="Q706" s="59">
        <f t="shared" si="152"/>
        <v>927.84529644289796</v>
      </c>
      <c r="R706" s="59">
        <f t="shared" si="152"/>
        <v>986.11790906790884</v>
      </c>
      <c r="S706" s="59">
        <f t="shared" si="152"/>
        <v>804.31691790417972</v>
      </c>
      <c r="T706" s="59">
        <f t="shared" si="152"/>
        <v>958.17074136224983</v>
      </c>
      <c r="U706" s="59">
        <f t="shared" si="152"/>
        <v>693.48300114632366</v>
      </c>
      <c r="V706" s="59">
        <f t="shared" si="152"/>
        <v>925.18931636726484</v>
      </c>
      <c r="W706" s="59">
        <f t="shared" si="152"/>
        <v>1082.5851271437023</v>
      </c>
      <c r="X706" s="59">
        <f t="shared" si="152"/>
        <v>617.8410273753816</v>
      </c>
      <c r="Y706" s="59">
        <f t="shared" si="152"/>
        <v>1482.8381388207599</v>
      </c>
      <c r="Z706" s="59">
        <f t="shared" si="152"/>
        <v>1196.4673821186461</v>
      </c>
      <c r="AA706" s="59" t="e">
        <f t="shared" si="152"/>
        <v>#DIV/0!</v>
      </c>
      <c r="AB706" s="59" t="e">
        <f t="shared" si="152"/>
        <v>#DIV/0!</v>
      </c>
      <c r="AC706" s="59" t="e">
        <f t="shared" si="152"/>
        <v>#DIV/0!</v>
      </c>
      <c r="AD706" s="59" t="e">
        <f t="shared" si="152"/>
        <v>#DIV/0!</v>
      </c>
      <c r="AE706" s="59" t="e">
        <f t="shared" si="152"/>
        <v>#DIV/0!</v>
      </c>
      <c r="AF706" s="59" t="e">
        <f t="shared" si="152"/>
        <v>#DIV/0!</v>
      </c>
      <c r="AG706" s="59" t="e">
        <f t="shared" si="152"/>
        <v>#DIV/0!</v>
      </c>
      <c r="AH706" s="59" t="e">
        <f t="shared" si="152"/>
        <v>#DIV/0!</v>
      </c>
      <c r="AI706" s="59" t="e">
        <f t="shared" si="152"/>
        <v>#DIV/0!</v>
      </c>
      <c r="AJ706" s="59" t="e">
        <f t="shared" si="152"/>
        <v>#DIV/0!</v>
      </c>
      <c r="AK706" s="59" t="e">
        <f t="shared" si="152"/>
        <v>#DIV/0!</v>
      </c>
    </row>
    <row r="707" spans="2:37" s="9" customFormat="1" x14ac:dyDescent="0.25">
      <c r="B707" s="66"/>
      <c r="C707" s="51"/>
      <c r="D707" s="109" t="s">
        <v>470</v>
      </c>
      <c r="I707" s="59"/>
      <c r="J707" s="97"/>
      <c r="K707" s="97"/>
      <c r="L707" s="97"/>
      <c r="M707" s="97"/>
      <c r="N707" s="97"/>
      <c r="O707" s="97"/>
      <c r="P707" s="97"/>
      <c r="Q707" s="97"/>
      <c r="R707" s="97"/>
      <c r="S707" s="97"/>
      <c r="T707" s="97"/>
      <c r="U707" s="97"/>
      <c r="V707" s="97"/>
      <c r="W707" s="97"/>
      <c r="X707" s="97"/>
      <c r="Y707" s="97"/>
      <c r="Z707" s="97"/>
      <c r="AA707" s="97"/>
      <c r="AB707" s="97"/>
      <c r="AC707" s="97"/>
      <c r="AD707" s="97"/>
      <c r="AE707" s="97"/>
      <c r="AF707" s="97"/>
      <c r="AG707" s="97"/>
      <c r="AH707" s="97"/>
      <c r="AI707" s="97"/>
      <c r="AJ707" s="97"/>
      <c r="AK707" s="97"/>
    </row>
    <row r="708" spans="2:37" s="9" customFormat="1" x14ac:dyDescent="0.25">
      <c r="B708" s="66"/>
      <c r="C708" s="51"/>
      <c r="D708" s="109"/>
      <c r="E708" s="9" t="s">
        <v>1256</v>
      </c>
      <c r="H708" s="9" t="s">
        <v>1015</v>
      </c>
      <c r="I708" s="59"/>
      <c r="J708" s="97"/>
      <c r="K708" s="97"/>
      <c r="L708" s="97"/>
      <c r="M708" s="97"/>
      <c r="N708" s="97"/>
      <c r="O708" s="97"/>
      <c r="P708" s="97"/>
      <c r="Q708" s="97">
        <f>Q709*Datasheet!Q103</f>
        <v>0</v>
      </c>
      <c r="R708" s="97">
        <f>R709*Datasheet!R103</f>
        <v>0</v>
      </c>
      <c r="S708" s="97">
        <f>S709*Datasheet!S103</f>
        <v>50.096759223149469</v>
      </c>
      <c r="T708" s="97">
        <f>T709*Datasheet!T103</f>
        <v>8.5906015328636549</v>
      </c>
      <c r="U708" s="97">
        <f>U709*Datasheet!U103</f>
        <v>0</v>
      </c>
      <c r="V708" s="97">
        <f>V709*Datasheet!V103</f>
        <v>25.334664536741194</v>
      </c>
      <c r="W708" s="97">
        <f>W709*Datasheet!W103</f>
        <v>46.109629852542867</v>
      </c>
      <c r="X708" s="97">
        <f>X709*Datasheet!X103</f>
        <v>201.48848090020732</v>
      </c>
      <c r="Y708" s="97">
        <f>Y709*Datasheet!Y103</f>
        <v>272.56381578947367</v>
      </c>
      <c r="Z708" s="97">
        <f>Z709*Datasheet!Z103</f>
        <v>403.64093009820914</v>
      </c>
      <c r="AA708" s="97">
        <f>AA709*Datasheet!AA103</f>
        <v>498.18666548731119</v>
      </c>
      <c r="AB708" s="97">
        <f>AB709*Datasheet!AB103</f>
        <v>620.15468767338052</v>
      </c>
      <c r="AC708" s="97">
        <f>AC709*Datasheet!AC103</f>
        <v>713.84091814895942</v>
      </c>
      <c r="AD708" s="97">
        <f>AD709*Datasheet!AD103</f>
        <v>826.05543419648086</v>
      </c>
      <c r="AE708" s="97">
        <f>AE709*Datasheet!AE103</f>
        <v>927.21443154821611</v>
      </c>
      <c r="AF708" s="97">
        <f>AF709*Datasheet!AF103</f>
        <v>1036.2773110043622</v>
      </c>
      <c r="AG708" s="97">
        <f>AG709*Datasheet!AG103</f>
        <v>1138.3941845326144</v>
      </c>
      <c r="AH708" s="97">
        <f>AH709*Datasheet!AH103</f>
        <v>1246.15497875868</v>
      </c>
      <c r="AI708" s="97">
        <f>AI709*Datasheet!AI103</f>
        <v>1350.232920640706</v>
      </c>
      <c r="AJ708" s="97">
        <f>AJ709*Datasheet!AJ103</f>
        <v>1456.4291590787129</v>
      </c>
      <c r="AK708" s="97">
        <f>AK709*Datasheet!AK103</f>
        <v>1561.1404404800608</v>
      </c>
    </row>
    <row r="709" spans="2:37" s="9" customFormat="1" x14ac:dyDescent="0.25">
      <c r="B709" s="66"/>
      <c r="C709" s="51"/>
      <c r="D709" s="235"/>
      <c r="F709" s="9" t="s">
        <v>1255</v>
      </c>
      <c r="H709" s="9" t="s">
        <v>1307</v>
      </c>
      <c r="I709" s="59"/>
      <c r="J709" s="97"/>
      <c r="K709" s="97"/>
      <c r="L709" s="97"/>
      <c r="M709" s="97"/>
      <c r="N709" s="97"/>
      <c r="O709" s="97"/>
      <c r="P709" s="97"/>
      <c r="Q709" s="138">
        <f>IF(Datasheet!Q661&gt;0,IF(Datasheet!Q661/Datasheet!Q$623-0.05&gt;0,Datasheet!Q661/Datasheet!Q$623-0.05,0),_xlfn.FORECAST.LINEAR(Q$2,L709:P709,L$2:P$2))</f>
        <v>0</v>
      </c>
      <c r="R709" s="138">
        <f>IF(Datasheet!R661&gt;0,IF(Datasheet!R661/Datasheet!R$623-0.05&gt;0,Datasheet!R661/Datasheet!R$623-0.05,0),_xlfn.FORECAST.LINEAR(R$2,M709:Q709,M$2:Q$2))</f>
        <v>0</v>
      </c>
      <c r="S709" s="138">
        <f>IF(Datasheet!S661&gt;0,IF(Datasheet!S661/Datasheet!S$623-0.05&gt;0,Datasheet!S661/Datasheet!S$623-0.05,0),_xlfn.FORECAST.LINEAR(S$2,N709:R709,N$2:R$2))</f>
        <v>5.0659074955151651E-3</v>
      </c>
      <c r="T709" s="138">
        <f>IF(Datasheet!T661&gt;0,IF(Datasheet!T661/Datasheet!T$623-0.05&gt;0,Datasheet!T661/Datasheet!T$623-0.05,0),_xlfn.FORECAST.LINEAR(T$2,O709:S709,O$2:S$2))</f>
        <v>8.6320353023147667E-4</v>
      </c>
      <c r="U709" s="138">
        <f>IF(Datasheet!U661&gt;0,IF(Datasheet!U661/Datasheet!U$623-0.05&gt;0,Datasheet!U661/Datasheet!U$623-0.05,0),_xlfn.FORECAST.LINEAR(U$2,P709:T709,P$2:T$2))</f>
        <v>0</v>
      </c>
      <c r="V709" s="138">
        <f>IF(Datasheet!V661&gt;0,IF(Datasheet!V661/Datasheet!V$623-0.05&gt;0,Datasheet!V661/Datasheet!V$623-0.05,0),_xlfn.FORECAST.LINEAR(V$2,Q709:U709,Q$2:U$2))</f>
        <v>2.4874486535828369E-3</v>
      </c>
      <c r="W709" s="138">
        <f>IF(Datasheet!W661&gt;0,IF(Datasheet!W661/Datasheet!W$623-0.05&gt;0,Datasheet!W661/Datasheet!W$623-0.05,0),_xlfn.FORECAST.LINEAR(W$2,R709:V709,R$2:V$2))</f>
        <v>4.4688534456816115E-3</v>
      </c>
      <c r="X709" s="138">
        <f>IF(Datasheet!X661&gt;0,IF(Datasheet!X661/Datasheet!X$623-0.05&gt;0,Datasheet!X661/Datasheet!X$623-0.05,0),_xlfn.FORECAST.LINEAR(X$2,S709:W709,S$2:W$2))</f>
        <v>1.9292271246668644E-2</v>
      </c>
      <c r="Y709" s="138">
        <f>IF(Datasheet!Y661&gt;0,IF(Datasheet!Y661/Datasheet!Y$623-0.05&gt;0,Datasheet!Y661/Datasheet!Y$623-0.05,0),_xlfn.FORECAST.LINEAR(Y$2,T709:X709,T$2:X$2))</f>
        <v>2.5657894736842102E-2</v>
      </c>
      <c r="Z709" s="138">
        <f>IF(Datasheet!Z661&gt;0,IF(Datasheet!Z661/Datasheet!Z$623-0.05&gt;0,Datasheet!Z661/Datasheet!Z$623-0.05,0),_xlfn.FORECAST.LINEAR(Z$2,U709:Y709,U$2:Y$2))</f>
        <v>3.7232813402657425E-2</v>
      </c>
      <c r="AA709" s="138">
        <f>IF(Datasheet!AA661&gt;0,IF(Datasheet!AA661/Datasheet!AA$623-0.05&gt;0,Datasheet!AA661/Datasheet!AA$623-0.05,0),_xlfn.FORECAST.LINEAR(AA$2,V709:Z709,V$2:Z$2))</f>
        <v>4.5031787533879708E-2</v>
      </c>
      <c r="AB709" s="138">
        <f>IF(Datasheet!AB661&gt;0,IF(Datasheet!AB661/Datasheet!AB$623-0.05&gt;0,Datasheet!AB661/Datasheet!AB$623-0.05,0),_xlfn.FORECAST.LINEAR(AB$2,W709:AA709,W$2:AA$2))</f>
        <v>5.6056647172862739E-2</v>
      </c>
      <c r="AC709" s="138">
        <f>IF(Datasheet!AC661&gt;0,IF(Datasheet!AC661/Datasheet!AC$623-0.05&gt;0,Datasheet!AC661/Datasheet!AC$623-0.05,0),_xlfn.FORECAST.LINEAR(AC$2,X709:AB709,X$2:AB$2))</f>
        <v>6.4525076213410415E-2</v>
      </c>
      <c r="AD709" s="138">
        <f>IF(Datasheet!AD661&gt;0,IF(Datasheet!AD661/Datasheet!AD$623-0.05&gt;0,Datasheet!AD661/Datasheet!AD$623-0.05,0),_xlfn.FORECAST.LINEAR(AD$2,Y709:AC709,Y$2:AC$2))</f>
        <v>7.4668302828932553E-2</v>
      </c>
      <c r="AE709" s="138">
        <f>IF(Datasheet!AE661&gt;0,IF(Datasheet!AE661/Datasheet!AE$623-0.05&gt;0,Datasheet!AE661/Datasheet!AE$623-0.05,0),_xlfn.FORECAST.LINEAR(AE$2,Z709:AD709,Z$2:AD$2))</f>
        <v>8.3812205689977048E-2</v>
      </c>
      <c r="AF709" s="138">
        <f>IF(Datasheet!AF661&gt;0,IF(Datasheet!AF661/Datasheet!AF$623-0.05&gt;0,Datasheet!AF661/Datasheet!AF$623-0.05,0),_xlfn.FORECAST.LINEAR(AF$2,AA709:AE709,AA$2:AE$2))</f>
        <v>9.3670551478293618E-2</v>
      </c>
      <c r="AG709" s="138">
        <f>IF(Datasheet!AG661&gt;0,IF(Datasheet!AG661/Datasheet!AG$623-0.05&gt;0,Datasheet!AG661/Datasheet!AG$623-0.05,0),_xlfn.FORECAST.LINEAR(AG$2,AB709:AF709,AB$2:AF$2))</f>
        <v>0.10290103810292095</v>
      </c>
      <c r="AH709" s="138">
        <f>IF(Datasheet!AH661&gt;0,IF(Datasheet!AH661/Datasheet!AH$623-0.05&gt;0,Datasheet!AH661/Datasheet!AH$623-0.05,0),_xlfn.FORECAST.LINEAR(AH$2,AC709:AG709,AC$2:AG$2))</f>
        <v>0.1126416865912212</v>
      </c>
      <c r="AI709" s="138">
        <f>IF(Datasheet!AI661&gt;0,IF(Datasheet!AI661/Datasheet!AI$623-0.05&gt;0,Datasheet!AI661/Datasheet!AI$623-0.05,0),_xlfn.FORECAST.LINEAR(AI$2,AD709:AH709,AD$2:AH$2))</f>
        <v>0.12204943691952508</v>
      </c>
      <c r="AJ709" s="138">
        <f>IF(Datasheet!AJ661&gt;0,IF(Datasheet!AJ661/Datasheet!AJ$623-0.05&gt;0,Datasheet!AJ661/Datasheet!AJ$623-0.05,0),_xlfn.FORECAST.LINEAR(AJ$2,AE709:AI709,AE$2:AI$2))</f>
        <v>0.13164866302799538</v>
      </c>
      <c r="AK709" s="138">
        <f>IF(Datasheet!AK661&gt;0,IF(Datasheet!AK661/Datasheet!AK$623-0.05&gt;0,Datasheet!AK661/Datasheet!AK$623-0.05,0),_xlfn.FORECAST.LINEAR(AK$2,AF709:AJ709,AF$2:AJ$2))</f>
        <v>0.14111366179879425</v>
      </c>
    </row>
    <row r="710" spans="2:37" s="9" customFormat="1" x14ac:dyDescent="0.25">
      <c r="B710" s="66"/>
      <c r="C710" s="51"/>
      <c r="D710" s="235"/>
      <c r="E710" s="9" t="s">
        <v>1612</v>
      </c>
      <c r="H710" s="9" t="s">
        <v>1015</v>
      </c>
      <c r="I710" s="59"/>
      <c r="J710" s="97"/>
      <c r="K710" s="97"/>
      <c r="L710" s="97"/>
      <c r="M710" s="97"/>
      <c r="N710" s="97"/>
      <c r="O710" s="97"/>
      <c r="P710" s="97"/>
      <c r="Q710" s="85">
        <f>IF(Datasheet!Q665&gt;0,Datasheet!Q665,_xlfn.FORECAST.LINEAR(Q$2,L710:P710,L$2:P$2))</f>
        <v>3881</v>
      </c>
      <c r="R710" s="85">
        <f>IF(Datasheet!R665&gt;0,Datasheet!R665,_xlfn.FORECAST.LINEAR(R$2,M710:Q710,M$2:Q$2))</f>
        <v>4092</v>
      </c>
      <c r="S710" s="85">
        <f>IF(Datasheet!S665&gt;0,Datasheet!S665,_xlfn.FORECAST.LINEAR(S$2,N710:R710,N$2:R$2))</f>
        <v>4118</v>
      </c>
      <c r="T710" s="85">
        <f>IF(Datasheet!T665&gt;0,Datasheet!T665,_xlfn.FORECAST.LINEAR(T$2,O710:S710,O$2:S$2))</f>
        <v>3946</v>
      </c>
      <c r="U710" s="85">
        <f>IF(Datasheet!U665&gt;0,Datasheet!U665,_xlfn.FORECAST.LINEAR(U$2,P710:T710,P$2:T$2))</f>
        <v>3807</v>
      </c>
      <c r="V710" s="85">
        <f>IF(Datasheet!V665&gt;0,Datasheet!V665,_xlfn.FORECAST.LINEAR(V$2,Q710:U710,Q$2:U$2))</f>
        <v>3554</v>
      </c>
      <c r="W710" s="85">
        <f>IF(Datasheet!W665&gt;0,Datasheet!W665,_xlfn.FORECAST.LINEAR(W$2,R710:V710,R$2:V$2))</f>
        <v>3436</v>
      </c>
      <c r="X710" s="85">
        <f>IF(Datasheet!X665&gt;0,Datasheet!X665,_xlfn.FORECAST.LINEAR(X$2,S710:W710,S$2:W$2))</f>
        <v>3065</v>
      </c>
      <c r="Y710" s="85">
        <f>IF(Datasheet!Y665&gt;0,Datasheet!Y665,_xlfn.FORECAST.LINEAR(Y$2,T710:X710,T$2:X$2))</f>
        <v>2747</v>
      </c>
      <c r="Z710" s="85">
        <f>IF(Datasheet!Z665&gt;0,Datasheet!Z665,_xlfn.FORECAST.LINEAR(Z$2,U710:Y710,U$2:Y$2))</f>
        <v>2766</v>
      </c>
      <c r="AA710" s="85">
        <f>IF(Datasheet!AA665&gt;0,Datasheet!AA665,_xlfn.FORECAST.LINEAR(AA$2,V710:Z710,V$2:Z$2))</f>
        <v>2434.0999999999767</v>
      </c>
      <c r="AB710" s="85">
        <f>IF(Datasheet!AB665&gt;0,Datasheet!AB665,_xlfn.FORECAST.LINEAR(AB$2,W710:AA710,W$2:AA$2))</f>
        <v>2198.7799999999697</v>
      </c>
      <c r="AC710" s="85">
        <f>IF(Datasheet!AC665&gt;0,Datasheet!AC665,_xlfn.FORECAST.LINEAR(AC$2,X710:AB710,X$2:AB$2))</f>
        <v>2028.5739999999059</v>
      </c>
      <c r="AD710" s="85">
        <f>IF(Datasheet!AD665&gt;0,Datasheet!AD665,_xlfn.FORECAST.LINEAR(AD$2,Y710:AC710,Y$2:AC$2))</f>
        <v>1833.6691999999457</v>
      </c>
      <c r="AE710" s="85">
        <f>IF(Datasheet!AE665&gt;0,Datasheet!AE665,_xlfn.FORECAST.LINEAR(AE$2,Z710:AD710,Z$2:AD$2))</f>
        <v>1571.1683599999524</v>
      </c>
      <c r="AF710" s="85">
        <f>IF(Datasheet!AF665&gt;0,Datasheet!AF665,_xlfn.FORECAST.LINEAR(AF$2,AA710:AE710,AA$2:AE$2))</f>
        <v>1385.9660879999283</v>
      </c>
      <c r="AG710" s="85">
        <f>IF(Datasheet!AG665&gt;0,Datasheet!AG665,_xlfn.FORECAST.LINEAR(AG$2,AB710:AF710,AB$2:AF$2))</f>
        <v>1178.721490399912</v>
      </c>
      <c r="AH710" s="85">
        <f>IF(Datasheet!AH665&gt;0,Datasheet!AH665,_xlfn.FORECAST.LINEAR(AH$2,AC710:AG710,AC$2:AG$2))</f>
        <v>955.39738831989234</v>
      </c>
      <c r="AI710" s="85">
        <f>IF(Datasheet!AI665&gt;0,Datasheet!AI665,_xlfn.FORECAST.LINEAR(AI$2,AD710:AH710,AD$2:AH$2))</f>
        <v>740.2873574559344</v>
      </c>
      <c r="AJ710" s="85">
        <f>IF(Datasheet!AJ665&gt;0,Datasheet!AJ665,_xlfn.FORECAST.LINEAR(AJ$2,AE710:AI710,AE$2:AI$2))</f>
        <v>538.6089254047256</v>
      </c>
      <c r="AK710" s="85">
        <f>IF(Datasheet!AK665&gt;0,Datasheet!AK665,_xlfn.FORECAST.LINEAR(AK$2,AF710:AJ710,AF$2:AJ$2))</f>
        <v>319.85171247576363</v>
      </c>
    </row>
    <row r="711" spans="2:37" s="9" customFormat="1" x14ac:dyDescent="0.25">
      <c r="B711" s="66"/>
      <c r="C711" s="51"/>
      <c r="D711" s="235"/>
      <c r="E711" s="9" t="s">
        <v>1254</v>
      </c>
      <c r="H711" s="9" t="s">
        <v>1316</v>
      </c>
      <c r="I711" s="59"/>
      <c r="J711" s="97"/>
      <c r="K711" s="97"/>
      <c r="L711" s="97"/>
      <c r="M711" s="97"/>
      <c r="N711" s="97"/>
      <c r="O711" s="97"/>
      <c r="P711" s="97"/>
      <c r="Q711" s="244">
        <f>IF(Datasheet!Q579&gt;0,Datasheet!Q579,AVERAGE(L716:P716))</f>
        <v>3.23</v>
      </c>
      <c r="R711" s="244">
        <f>IF(Datasheet!R579&gt;0,Datasheet!R579,AVERAGE(M716:Q716))</f>
        <v>3.25</v>
      </c>
      <c r="S711" s="244">
        <f>IF(Datasheet!S579&gt;0,Datasheet!S579,AVERAGE(N716:R716))</f>
        <v>3.25</v>
      </c>
      <c r="T711" s="244">
        <f>IF(Datasheet!T579&gt;0,Datasheet!T579,AVERAGE(O716:S716))</f>
        <v>3.26</v>
      </c>
      <c r="U711" s="244">
        <f>IF(Datasheet!U579&gt;0,Datasheet!U579,AVERAGE(P716:T716))</f>
        <v>3.26</v>
      </c>
      <c r="V711" s="244">
        <f>IF(Datasheet!V579&gt;0,Datasheet!V579,AVERAGE(Q716:U716))</f>
        <v>3.26</v>
      </c>
      <c r="W711" s="244">
        <f>IF(Datasheet!W579&gt;0,Datasheet!W579,AVERAGE(R716:V716))</f>
        <v>3.27</v>
      </c>
      <c r="X711" s="244">
        <f>IF(Datasheet!X579&gt;0,Datasheet!X579,AVERAGE(S716:W716))</f>
        <v>3.26</v>
      </c>
      <c r="Y711" s="244">
        <f>IF(Datasheet!Y579&gt;0,Datasheet!Y579,AVERAGE(T716:X716))</f>
        <v>3.24</v>
      </c>
      <c r="Z711" s="244">
        <f>IF(Datasheet!Z579&gt;0,Datasheet!Z579,AVERAGE(U716:Y716))</f>
        <v>3.23</v>
      </c>
      <c r="AA711" s="244">
        <f>IF(Datasheet!AA579&gt;0,Datasheet!AA579,AVERAGE(V716:Z716))</f>
        <v>3.2519999999999998</v>
      </c>
      <c r="AB711" s="244">
        <f>IF(Datasheet!AB579&gt;0,Datasheet!AB579,AVERAGE(W716:AA716))</f>
        <v>3.2504</v>
      </c>
      <c r="AC711" s="244">
        <f>IF(Datasheet!AC579&gt;0,Datasheet!AC579,AVERAGE(X716:AB716))</f>
        <v>3.2464799999999996</v>
      </c>
      <c r="AD711" s="244">
        <f>IF(Datasheet!AD579&gt;0,Datasheet!AD579,AVERAGE(Y716:AC716))</f>
        <v>3.2437759999999995</v>
      </c>
      <c r="AE711" s="244">
        <f>IF(Datasheet!AE579&gt;0,Datasheet!AE579,AVERAGE(Z716:AD716))</f>
        <v>3.2445311999999995</v>
      </c>
      <c r="AF711" s="244">
        <f>IF(Datasheet!AF579&gt;0,Datasheet!AF579,AVERAGE(AA716:AE716))</f>
        <v>3.2474374400000001</v>
      </c>
      <c r="AG711" s="244">
        <f>IF(Datasheet!AG579&gt;0,Datasheet!AG579,AVERAGE(AB716:AF716))</f>
        <v>3.2465249279999995</v>
      </c>
      <c r="AH711" s="244">
        <f>IF(Datasheet!AH579&gt;0,Datasheet!AH579,AVERAGE(AC716:AG716))</f>
        <v>3.2457499135999996</v>
      </c>
      <c r="AI711" s="244">
        <f>IF(Datasheet!AI579&gt;0,Datasheet!AI579,AVERAGE(AD716:AH716))</f>
        <v>3.24560389632</v>
      </c>
      <c r="AJ711" s="244">
        <f>IF(Datasheet!AJ579&gt;0,Datasheet!AJ579,AVERAGE(AE716:AI716))</f>
        <v>3.2459694755839998</v>
      </c>
      <c r="AK711" s="244">
        <f>IF(Datasheet!AK579&gt;0,Datasheet!AK579,AVERAGE(AF716:AJ716))</f>
        <v>3.2462571307007999</v>
      </c>
    </row>
    <row r="712" spans="2:37" s="109" customFormat="1" x14ac:dyDescent="0.25">
      <c r="D712" s="109" t="s">
        <v>472</v>
      </c>
    </row>
    <row r="713" spans="2:37" x14ac:dyDescent="0.25">
      <c r="F713" t="s">
        <v>483</v>
      </c>
      <c r="H713" s="9" t="s">
        <v>1016</v>
      </c>
      <c r="Q713" s="59">
        <f>R713-Datasheet!R85</f>
        <v>3810</v>
      </c>
      <c r="R713" s="59">
        <f>S713-Datasheet!S85</f>
        <v>3811</v>
      </c>
      <c r="S713" s="59">
        <f>T713-Datasheet!T85</f>
        <v>3837</v>
      </c>
      <c r="T713" s="59">
        <v>3837</v>
      </c>
      <c r="U713" s="59">
        <f>T713+Datasheet!U85</f>
        <v>3894</v>
      </c>
      <c r="V713" s="59">
        <f>U713+Datasheet!V85</f>
        <v>3894</v>
      </c>
      <c r="W713" s="59">
        <f>V713+Datasheet!W85</f>
        <v>3894</v>
      </c>
      <c r="X713" s="59">
        <f>W713+Datasheet!X85</f>
        <v>4024</v>
      </c>
      <c r="Y713" s="59">
        <f>X713+Datasheet!Y85</f>
        <v>4130</v>
      </c>
      <c r="Z713" s="59">
        <f>Y713+Datasheet!Z85</f>
        <v>4133</v>
      </c>
      <c r="AA713" s="59">
        <f>Z713+Datasheet!AA85</f>
        <v>4171</v>
      </c>
      <c r="AB713" s="59">
        <f>AA713+Datasheet!AB85</f>
        <v>4171</v>
      </c>
      <c r="AC713" s="59">
        <f>AB713+Datasheet!AC85</f>
        <v>4171</v>
      </c>
      <c r="AD713" s="59">
        <f>AC713+Datasheet!AD85</f>
        <v>4171</v>
      </c>
      <c r="AE713" s="59">
        <f>AD713+Datasheet!AE85</f>
        <v>4171</v>
      </c>
      <c r="AF713" s="59">
        <f>AE713+Datasheet!AF85</f>
        <v>4171</v>
      </c>
      <c r="AG713" s="59">
        <f>AF713+Datasheet!AG85</f>
        <v>4171</v>
      </c>
      <c r="AH713" s="59">
        <f>AG713+Datasheet!AH85</f>
        <v>4171</v>
      </c>
      <c r="AI713" s="59">
        <f>AH713+Datasheet!AI85</f>
        <v>4171</v>
      </c>
      <c r="AJ713" s="59">
        <f>AI713+Datasheet!AJ85</f>
        <v>4171</v>
      </c>
      <c r="AK713" s="59">
        <f>AJ713+Datasheet!AK85</f>
        <v>4171</v>
      </c>
    </row>
    <row r="714" spans="2:37" x14ac:dyDescent="0.25">
      <c r="D714" s="202"/>
      <c r="G714" t="s">
        <v>1254</v>
      </c>
      <c r="H714" s="9" t="s">
        <v>1317</v>
      </c>
      <c r="Q714" s="59">
        <v>2</v>
      </c>
      <c r="R714" s="59">
        <v>2</v>
      </c>
      <c r="S714" s="59">
        <v>2</v>
      </c>
      <c r="T714" s="59">
        <v>2</v>
      </c>
      <c r="U714" s="59">
        <v>2</v>
      </c>
      <c r="V714" s="59">
        <v>2</v>
      </c>
      <c r="W714" s="59">
        <v>2</v>
      </c>
      <c r="X714" s="59">
        <v>2</v>
      </c>
      <c r="Y714" s="59">
        <v>2</v>
      </c>
      <c r="Z714" s="59">
        <v>2</v>
      </c>
      <c r="AA714" s="59">
        <v>2</v>
      </c>
      <c r="AB714" s="59">
        <v>2</v>
      </c>
      <c r="AC714" s="59">
        <v>2</v>
      </c>
      <c r="AD714" s="59">
        <v>2</v>
      </c>
      <c r="AE714" s="59">
        <v>2</v>
      </c>
      <c r="AF714" s="59">
        <v>2</v>
      </c>
      <c r="AG714" s="59">
        <v>2</v>
      </c>
      <c r="AH714" s="59">
        <v>2</v>
      </c>
      <c r="AI714" s="59">
        <v>2</v>
      </c>
      <c r="AJ714" s="59">
        <v>2</v>
      </c>
      <c r="AK714" s="59">
        <v>2</v>
      </c>
    </row>
    <row r="715" spans="2:37" x14ac:dyDescent="0.25">
      <c r="F715" t="s">
        <v>484</v>
      </c>
      <c r="H715" s="9" t="s">
        <v>1016</v>
      </c>
      <c r="I715" s="165" t="s">
        <v>696</v>
      </c>
      <c r="Q715" s="59">
        <f>R715-7</f>
        <v>1563</v>
      </c>
      <c r="R715" s="59">
        <f>S715-8</f>
        <v>1570</v>
      </c>
      <c r="S715" s="59">
        <f>T715-29</f>
        <v>1578</v>
      </c>
      <c r="T715" s="59">
        <v>1607</v>
      </c>
      <c r="U715" s="59">
        <f>T715+4</f>
        <v>1611</v>
      </c>
      <c r="V715" s="59">
        <f t="shared" ref="V715:AK715" si="153">U715</f>
        <v>1611</v>
      </c>
      <c r="W715" s="59">
        <f t="shared" si="153"/>
        <v>1611</v>
      </c>
      <c r="X715" s="59">
        <f t="shared" si="153"/>
        <v>1611</v>
      </c>
      <c r="Y715" s="59">
        <f t="shared" si="153"/>
        <v>1611</v>
      </c>
      <c r="Z715" s="59">
        <f t="shared" si="153"/>
        <v>1611</v>
      </c>
      <c r="AA715" s="59">
        <f t="shared" si="153"/>
        <v>1611</v>
      </c>
      <c r="AB715" s="59">
        <f t="shared" si="153"/>
        <v>1611</v>
      </c>
      <c r="AC715" s="59">
        <f t="shared" si="153"/>
        <v>1611</v>
      </c>
      <c r="AD715" s="59">
        <f t="shared" si="153"/>
        <v>1611</v>
      </c>
      <c r="AE715" s="59">
        <f t="shared" si="153"/>
        <v>1611</v>
      </c>
      <c r="AF715" s="59">
        <f t="shared" si="153"/>
        <v>1611</v>
      </c>
      <c r="AG715" s="59">
        <f t="shared" si="153"/>
        <v>1611</v>
      </c>
      <c r="AH715" s="59">
        <f t="shared" si="153"/>
        <v>1611</v>
      </c>
      <c r="AI715" s="59">
        <f t="shared" si="153"/>
        <v>1611</v>
      </c>
      <c r="AJ715" s="59">
        <f t="shared" si="153"/>
        <v>1611</v>
      </c>
      <c r="AK715" s="59">
        <f t="shared" si="153"/>
        <v>1611</v>
      </c>
    </row>
    <row r="716" spans="2:37" x14ac:dyDescent="0.25">
      <c r="D716" s="245"/>
      <c r="G716" s="223" t="s">
        <v>1254</v>
      </c>
      <c r="H716" s="9" t="s">
        <v>1317</v>
      </c>
      <c r="I716" s="168"/>
      <c r="Q716" s="183">
        <f>IF(Datasheet!Q579&gt;0,Datasheet!Q579,AVERAGE(L716:P716))</f>
        <v>3.23</v>
      </c>
      <c r="R716" s="183">
        <f>IF(Datasheet!R579&gt;0,Datasheet!R579,AVERAGE(M716:Q716))</f>
        <v>3.25</v>
      </c>
      <c r="S716" s="183">
        <f>IF(Datasheet!S579&gt;0,Datasheet!S579,AVERAGE(N716:R716))</f>
        <v>3.25</v>
      </c>
      <c r="T716" s="183">
        <f>IF(Datasheet!T579&gt;0,Datasheet!T579,AVERAGE(O716:S716))</f>
        <v>3.26</v>
      </c>
      <c r="U716" s="183">
        <f>IF(Datasheet!U579&gt;0,Datasheet!U579,AVERAGE(P716:T716))</f>
        <v>3.26</v>
      </c>
      <c r="V716" s="183">
        <f>IF(Datasheet!V579&gt;0,Datasheet!V579,AVERAGE(Q716:U716))</f>
        <v>3.26</v>
      </c>
      <c r="W716" s="183">
        <f>IF(Datasheet!W579&gt;0,Datasheet!W579,AVERAGE(R716:V716))</f>
        <v>3.27</v>
      </c>
      <c r="X716" s="183">
        <f>IF(Datasheet!X579&gt;0,Datasheet!X579,AVERAGE(S716:W716))</f>
        <v>3.26</v>
      </c>
      <c r="Y716" s="183">
        <f>IF(Datasheet!Y579&gt;0,Datasheet!Y579,AVERAGE(T716:X716))</f>
        <v>3.24</v>
      </c>
      <c r="Z716" s="183">
        <f>IF(Datasheet!Z579&gt;0,Datasheet!Z579,AVERAGE(U716:Y716))</f>
        <v>3.23</v>
      </c>
      <c r="AA716" s="183">
        <f>IF(Datasheet!AA579&gt;0,Datasheet!AA579,AVERAGE(V716:Z716))</f>
        <v>3.2519999999999998</v>
      </c>
      <c r="AB716" s="183">
        <f>IF(Datasheet!AB579&gt;0,Datasheet!AB579,AVERAGE(W716:AA716))</f>
        <v>3.2504</v>
      </c>
      <c r="AC716" s="183">
        <f>IF(Datasheet!AC579&gt;0,Datasheet!AC579,AVERAGE(X716:AB716))</f>
        <v>3.2464799999999996</v>
      </c>
      <c r="AD716" s="183">
        <f>IF(Datasheet!AD579&gt;0,Datasheet!AD579,AVERAGE(Y716:AC716))</f>
        <v>3.2437759999999995</v>
      </c>
      <c r="AE716" s="183">
        <f>IF(Datasheet!AE579&gt;0,Datasheet!AE579,AVERAGE(Z716:AD716))</f>
        <v>3.2445311999999995</v>
      </c>
      <c r="AF716" s="183">
        <f>IF(Datasheet!AF579&gt;0,Datasheet!AF579,AVERAGE(AA716:AE716))</f>
        <v>3.2474374400000001</v>
      </c>
      <c r="AG716" s="183">
        <f>IF(Datasheet!AG579&gt;0,Datasheet!AG579,AVERAGE(AB716:AF716))</f>
        <v>3.2465249279999995</v>
      </c>
      <c r="AH716" s="183">
        <f>IF(Datasheet!AH579&gt;0,Datasheet!AH579,AVERAGE(AC716:AG716))</f>
        <v>3.2457499135999996</v>
      </c>
      <c r="AI716" s="183">
        <f>IF(Datasheet!AI579&gt;0,Datasheet!AI579,AVERAGE(AD716:AH716))</f>
        <v>3.24560389632</v>
      </c>
      <c r="AJ716" s="183">
        <f>IF(Datasheet!AJ579&gt;0,Datasheet!AJ579,AVERAGE(AE716:AI716))</f>
        <v>3.2459694755839998</v>
      </c>
      <c r="AK716" s="183">
        <f>IF(Datasheet!AK579&gt;0,Datasheet!AK579,AVERAGE(AF716:AJ716))</f>
        <v>3.2462571307007999</v>
      </c>
    </row>
    <row r="717" spans="2:37" x14ac:dyDescent="0.25">
      <c r="F717" t="s">
        <v>485</v>
      </c>
      <c r="H717" s="9" t="s">
        <v>1016</v>
      </c>
      <c r="I717" s="165" t="s">
        <v>696</v>
      </c>
      <c r="Q717" s="59">
        <f>R717</f>
        <v>531</v>
      </c>
      <c r="R717" s="59">
        <f>S717</f>
        <v>531</v>
      </c>
      <c r="S717" s="59">
        <f>T717</f>
        <v>531</v>
      </c>
      <c r="T717" s="59">
        <v>531</v>
      </c>
      <c r="U717" s="59">
        <f t="shared" ref="U717:AK717" si="154">T717</f>
        <v>531</v>
      </c>
      <c r="V717">
        <f t="shared" si="154"/>
        <v>531</v>
      </c>
      <c r="W717">
        <f t="shared" si="154"/>
        <v>531</v>
      </c>
      <c r="X717">
        <f t="shared" si="154"/>
        <v>531</v>
      </c>
      <c r="Y717">
        <f t="shared" si="154"/>
        <v>531</v>
      </c>
      <c r="Z717">
        <f t="shared" si="154"/>
        <v>531</v>
      </c>
      <c r="AA717">
        <f t="shared" si="154"/>
        <v>531</v>
      </c>
      <c r="AB717">
        <f t="shared" si="154"/>
        <v>531</v>
      </c>
      <c r="AC717">
        <f t="shared" si="154"/>
        <v>531</v>
      </c>
      <c r="AD717">
        <f t="shared" si="154"/>
        <v>531</v>
      </c>
      <c r="AE717">
        <f t="shared" si="154"/>
        <v>531</v>
      </c>
      <c r="AF717">
        <f t="shared" si="154"/>
        <v>531</v>
      </c>
      <c r="AG717">
        <f t="shared" si="154"/>
        <v>531</v>
      </c>
      <c r="AH717">
        <f t="shared" si="154"/>
        <v>531</v>
      </c>
      <c r="AI717">
        <f t="shared" si="154"/>
        <v>531</v>
      </c>
      <c r="AJ717">
        <f t="shared" si="154"/>
        <v>531</v>
      </c>
      <c r="AK717">
        <f t="shared" si="154"/>
        <v>531</v>
      </c>
    </row>
    <row r="718" spans="2:37" x14ac:dyDescent="0.25">
      <c r="D718" s="245"/>
      <c r="G718" s="223" t="s">
        <v>1254</v>
      </c>
      <c r="H718" s="9" t="s">
        <v>1317</v>
      </c>
      <c r="I718" s="168"/>
      <c r="Q718" s="183">
        <f>IF(Datasheet!Q579&gt;0,Datasheet!Q579,AVERAGE(L718:P718))</f>
        <v>3.23</v>
      </c>
      <c r="R718" s="183">
        <f>IF(Datasheet!R579&gt;0,Datasheet!R579,AVERAGE(M718:Q718))</f>
        <v>3.25</v>
      </c>
      <c r="S718" s="183">
        <f>IF(Datasheet!S579&gt;0,Datasheet!S579,AVERAGE(N718:R718))</f>
        <v>3.25</v>
      </c>
      <c r="T718" s="183">
        <f>IF(Datasheet!T579&gt;0,Datasheet!T579,AVERAGE(O718:S718))</f>
        <v>3.26</v>
      </c>
      <c r="U718" s="183">
        <f>IF(Datasheet!U579&gt;0,Datasheet!U579,AVERAGE(P718:T718))</f>
        <v>3.26</v>
      </c>
      <c r="V718" s="183">
        <f>IF(Datasheet!V579&gt;0,Datasheet!V579,AVERAGE(Q718:U718))</f>
        <v>3.26</v>
      </c>
      <c r="W718" s="183">
        <f>IF(Datasheet!W579&gt;0,Datasheet!W579,AVERAGE(R718:V718))</f>
        <v>3.27</v>
      </c>
      <c r="X718" s="183">
        <f>IF(Datasheet!X579&gt;0,Datasheet!X579,AVERAGE(S718:W718))</f>
        <v>3.26</v>
      </c>
      <c r="Y718" s="183">
        <f>IF(Datasheet!Y579&gt;0,Datasheet!Y579,AVERAGE(T718:X718))</f>
        <v>3.24</v>
      </c>
      <c r="Z718" s="183">
        <f>IF(Datasheet!Z579&gt;0,Datasheet!Z579,AVERAGE(U718:Y718))</f>
        <v>3.23</v>
      </c>
      <c r="AA718" s="183">
        <f>IF(Datasheet!AA579&gt;0,Datasheet!AA579,AVERAGE(V718:Z718))</f>
        <v>3.2519999999999998</v>
      </c>
      <c r="AB718" s="183">
        <f>IF(Datasheet!AB579&gt;0,Datasheet!AB579,AVERAGE(W718:AA718))</f>
        <v>3.2504</v>
      </c>
      <c r="AC718" s="183">
        <f>IF(Datasheet!AC579&gt;0,Datasheet!AC579,AVERAGE(X718:AB718))</f>
        <v>3.2464799999999996</v>
      </c>
      <c r="AD718" s="183">
        <f>IF(Datasheet!AD579&gt;0,Datasheet!AD579,AVERAGE(Y718:AC718))</f>
        <v>3.2437759999999995</v>
      </c>
      <c r="AE718" s="183">
        <f>IF(Datasheet!AE579&gt;0,Datasheet!AE579,AVERAGE(Z718:AD718))</f>
        <v>3.2445311999999995</v>
      </c>
      <c r="AF718" s="183">
        <f>IF(Datasheet!AF579&gt;0,Datasheet!AF579,AVERAGE(AA718:AE718))</f>
        <v>3.2474374400000001</v>
      </c>
      <c r="AG718" s="183">
        <f>IF(Datasheet!AG579&gt;0,Datasheet!AG579,AVERAGE(AB718:AF718))</f>
        <v>3.2465249279999995</v>
      </c>
      <c r="AH718" s="183">
        <f>IF(Datasheet!AH579&gt;0,Datasheet!AH579,AVERAGE(AC718:AG718))</f>
        <v>3.2457499135999996</v>
      </c>
      <c r="AI718" s="183">
        <f>IF(Datasheet!AI579&gt;0,Datasheet!AI579,AVERAGE(AD718:AH718))</f>
        <v>3.24560389632</v>
      </c>
      <c r="AJ718" s="183">
        <f>IF(Datasheet!AJ579&gt;0,Datasheet!AJ579,AVERAGE(AE718:AI718))</f>
        <v>3.2459694755839998</v>
      </c>
      <c r="AK718" s="183">
        <f>IF(Datasheet!AK579&gt;0,Datasheet!AK579,AVERAGE(AF718:AJ718))</f>
        <v>3.2462571307007999</v>
      </c>
    </row>
    <row r="719" spans="2:37" x14ac:dyDescent="0.25">
      <c r="F719" t="s">
        <v>606</v>
      </c>
    </row>
    <row r="720" spans="2:37" x14ac:dyDescent="0.25">
      <c r="G720" s="9" t="s">
        <v>314</v>
      </c>
      <c r="H720" s="9" t="s">
        <v>1318</v>
      </c>
      <c r="Q720" s="122">
        <f>Datasheet!Q909</f>
        <v>0.42</v>
      </c>
      <c r="R720" s="122">
        <f>Datasheet!R909</f>
        <v>0.4</v>
      </c>
      <c r="S720" s="122">
        <f>Datasheet!S909</f>
        <v>0.42299999999999999</v>
      </c>
      <c r="T720" s="122">
        <f>Datasheet!T909</f>
        <v>0.42</v>
      </c>
      <c r="U720" s="122">
        <f>Datasheet!U909</f>
        <v>0.51</v>
      </c>
      <c r="V720" s="122">
        <f>Datasheet!V909</f>
        <v>0.53100000000000003</v>
      </c>
      <c r="W720" s="122">
        <f>Datasheet!W909</f>
        <v>0.53200000000000003</v>
      </c>
      <c r="X720" s="122">
        <f>Datasheet!X909</f>
        <v>0.58399999999999996</v>
      </c>
      <c r="Y720" s="122">
        <f>Datasheet!Y909</f>
        <v>0.622</v>
      </c>
      <c r="Z720" s="122">
        <f>Datasheet!Z909</f>
        <v>0.621</v>
      </c>
      <c r="AA720" s="122">
        <f>Datasheet!AA909</f>
        <v>0.60799999999999998</v>
      </c>
      <c r="AB720" s="122">
        <f>Datasheet!AB909</f>
        <v>0</v>
      </c>
      <c r="AC720" s="122">
        <f>Datasheet!AC909</f>
        <v>0</v>
      </c>
      <c r="AD720" s="122">
        <f>Datasheet!AD909</f>
        <v>0</v>
      </c>
      <c r="AE720" s="122">
        <f>Datasheet!AE909</f>
        <v>0</v>
      </c>
      <c r="AF720" s="122">
        <f>Datasheet!AF909</f>
        <v>0</v>
      </c>
      <c r="AG720" s="122">
        <f>Datasheet!AG909</f>
        <v>0</v>
      </c>
      <c r="AH720" s="122">
        <f>Datasheet!AH909</f>
        <v>0</v>
      </c>
      <c r="AI720" s="122">
        <f>Datasheet!AI909</f>
        <v>0</v>
      </c>
      <c r="AJ720" s="122">
        <f>Datasheet!AJ909</f>
        <v>0</v>
      </c>
      <c r="AK720" s="122">
        <f>Datasheet!AK909</f>
        <v>0</v>
      </c>
    </row>
    <row r="721" spans="6:38" x14ac:dyDescent="0.25">
      <c r="G721" s="9" t="s">
        <v>315</v>
      </c>
      <c r="H721" s="9" t="s">
        <v>1318</v>
      </c>
      <c r="Q721" s="122">
        <f>Datasheet!Q910</f>
        <v>0.54</v>
      </c>
      <c r="R721" s="122">
        <f>Datasheet!R910</f>
        <v>0.53</v>
      </c>
      <c r="S721" s="122">
        <f>Datasheet!S910</f>
        <v>0.60099999999999998</v>
      </c>
      <c r="T721" s="122">
        <f>Datasheet!T910</f>
        <v>0.66</v>
      </c>
      <c r="U721" s="122">
        <f>Datasheet!U910</f>
        <v>0.65</v>
      </c>
      <c r="V721" s="122">
        <f>Datasheet!V910</f>
        <v>0.65700000000000003</v>
      </c>
      <c r="W721" s="122">
        <f>Datasheet!W910</f>
        <v>0.63800000000000001</v>
      </c>
      <c r="X721" s="122">
        <f>Datasheet!X910</f>
        <v>0.64800000000000002</v>
      </c>
      <c r="Y721" s="122">
        <f>Datasheet!Y910</f>
        <v>0.68400000000000005</v>
      </c>
      <c r="Z721" s="122">
        <f>Datasheet!Z910</f>
        <v>0.77700000000000002</v>
      </c>
      <c r="AA721" s="122">
        <f>Datasheet!AA910</f>
        <v>0.73899999999999999</v>
      </c>
      <c r="AB721" s="122">
        <f>Datasheet!AB910</f>
        <v>0</v>
      </c>
      <c r="AC721" s="122">
        <f>Datasheet!AC910</f>
        <v>0</v>
      </c>
      <c r="AD721" s="122">
        <f>Datasheet!AD910</f>
        <v>0</v>
      </c>
      <c r="AE721" s="122">
        <f>Datasheet!AE910</f>
        <v>0</v>
      </c>
      <c r="AF721" s="122">
        <f>Datasheet!AF910</f>
        <v>0</v>
      </c>
      <c r="AG721" s="122">
        <f>Datasheet!AG910</f>
        <v>0</v>
      </c>
      <c r="AH721" s="122">
        <f>Datasheet!AH910</f>
        <v>0</v>
      </c>
      <c r="AI721" s="122">
        <f>Datasheet!AI910</f>
        <v>0</v>
      </c>
      <c r="AJ721" s="122">
        <f>Datasheet!AJ910</f>
        <v>0</v>
      </c>
      <c r="AK721" s="122">
        <f>Datasheet!AK910</f>
        <v>0</v>
      </c>
    </row>
    <row r="722" spans="6:38" x14ac:dyDescent="0.25">
      <c r="G722" s="9" t="s">
        <v>316</v>
      </c>
      <c r="H722" s="9" t="s">
        <v>1318</v>
      </c>
      <c r="Q722" s="122">
        <f>Datasheet!Q911</f>
        <v>0.46</v>
      </c>
      <c r="R722" s="122">
        <f>Datasheet!R911</f>
        <v>0.435</v>
      </c>
      <c r="S722" s="122">
        <f>Datasheet!S911</f>
        <v>0.46899999999999997</v>
      </c>
      <c r="T722" s="122">
        <f>Datasheet!T911</f>
        <v>0.5</v>
      </c>
      <c r="U722" s="122">
        <f>Datasheet!U911</f>
        <v>0.57999999999999996</v>
      </c>
      <c r="V722" s="122">
        <f>Datasheet!V911</f>
        <v>0.53300000000000003</v>
      </c>
      <c r="W722" s="122">
        <f>Datasheet!W911</f>
        <v>0.59599999999999997</v>
      </c>
      <c r="X722" s="122">
        <f>Datasheet!X911</f>
        <v>0.57999999999999996</v>
      </c>
      <c r="Y722" s="122">
        <f>Datasheet!Y911</f>
        <v>0.56999999999999995</v>
      </c>
      <c r="Z722" s="122">
        <f>Datasheet!Z911</f>
        <v>0.64200000000000002</v>
      </c>
      <c r="AA722" s="122">
        <f>Datasheet!AA911</f>
        <v>0.36599999999999999</v>
      </c>
      <c r="AB722" s="122">
        <f>Datasheet!AB911</f>
        <v>0</v>
      </c>
      <c r="AC722" s="122">
        <f>Datasheet!AC911</f>
        <v>0</v>
      </c>
      <c r="AD722" s="122">
        <f>Datasheet!AD911</f>
        <v>0</v>
      </c>
      <c r="AE722" s="122">
        <f>Datasheet!AE911</f>
        <v>0</v>
      </c>
      <c r="AF722" s="122">
        <f>Datasheet!AF911</f>
        <v>0</v>
      </c>
      <c r="AG722" s="122">
        <f>Datasheet!AG911</f>
        <v>0</v>
      </c>
      <c r="AH722" s="122">
        <f>Datasheet!AH911</f>
        <v>0</v>
      </c>
      <c r="AI722" s="122">
        <f>Datasheet!AI911</f>
        <v>0</v>
      </c>
      <c r="AJ722" s="122">
        <f>Datasheet!AJ911</f>
        <v>0</v>
      </c>
      <c r="AK722" s="122">
        <f>Datasheet!AK911</f>
        <v>0</v>
      </c>
    </row>
    <row r="723" spans="6:38" s="223" customFormat="1" x14ac:dyDescent="0.25">
      <c r="G723" s="9" t="s">
        <v>317</v>
      </c>
      <c r="H723" s="9" t="s">
        <v>1318</v>
      </c>
      <c r="Q723" s="122">
        <f>Datasheet!Q912</f>
        <v>0.156</v>
      </c>
      <c r="R723" s="122">
        <f>Datasheet!R912</f>
        <v>0.13</v>
      </c>
      <c r="S723" s="122">
        <f>Datasheet!S912</f>
        <v>0.18</v>
      </c>
      <c r="T723" s="122">
        <f>Datasheet!T912</f>
        <v>0.16</v>
      </c>
      <c r="U723" s="122">
        <f>Datasheet!U912</f>
        <v>0.11</v>
      </c>
      <c r="V723" s="122">
        <f>Datasheet!V912</f>
        <v>0.154</v>
      </c>
      <c r="W723" s="122">
        <f>Datasheet!W912</f>
        <v>0.14299999999999999</v>
      </c>
      <c r="X723" s="122">
        <f>Datasheet!X912</f>
        <v>0.127</v>
      </c>
      <c r="Y723" s="122">
        <f>Datasheet!Y912</f>
        <v>0.16400000000000001</v>
      </c>
      <c r="Z723" s="122">
        <f>Datasheet!Z912</f>
        <v>0.185</v>
      </c>
      <c r="AA723" s="122">
        <f>Datasheet!AA912</f>
        <v>4.1000000000000002E-2</v>
      </c>
      <c r="AB723" s="122">
        <f>Datasheet!AB912</f>
        <v>0</v>
      </c>
      <c r="AC723" s="122">
        <f>Datasheet!AC912</f>
        <v>0</v>
      </c>
      <c r="AD723" s="122">
        <f>Datasheet!AD912</f>
        <v>0</v>
      </c>
      <c r="AE723" s="122">
        <f>Datasheet!AE912</f>
        <v>0</v>
      </c>
      <c r="AF723" s="122">
        <f>Datasheet!AF912</f>
        <v>0</v>
      </c>
      <c r="AG723" s="122">
        <f>Datasheet!AG912</f>
        <v>0</v>
      </c>
      <c r="AH723" s="122">
        <f>Datasheet!AH912</f>
        <v>0</v>
      </c>
      <c r="AI723" s="122">
        <f>Datasheet!AI912</f>
        <v>0</v>
      </c>
      <c r="AJ723" s="122">
        <f>Datasheet!AJ912</f>
        <v>0</v>
      </c>
      <c r="AK723" s="122">
        <f>Datasheet!AK912</f>
        <v>0</v>
      </c>
    </row>
    <row r="724" spans="6:38" s="223" customFormat="1" x14ac:dyDescent="0.25">
      <c r="G724" s="9" t="s">
        <v>318</v>
      </c>
      <c r="H724" s="9" t="s">
        <v>1318</v>
      </c>
      <c r="Q724" s="122">
        <f>Datasheet!Q913</f>
        <v>0.34300000000000003</v>
      </c>
      <c r="R724" s="122">
        <f>Datasheet!R913</f>
        <v>0.34</v>
      </c>
      <c r="S724" s="122">
        <f>Datasheet!S913</f>
        <v>0.37</v>
      </c>
      <c r="T724" s="122">
        <f>Datasheet!T913</f>
        <v>0.32</v>
      </c>
      <c r="U724" s="122">
        <f>Datasheet!U913</f>
        <v>0.42</v>
      </c>
      <c r="V724" s="122">
        <f>Datasheet!V913</f>
        <v>0.443</v>
      </c>
      <c r="W724" s="122">
        <f>Datasheet!W913</f>
        <v>0.53600000000000003</v>
      </c>
      <c r="X724" s="122">
        <f>Datasheet!X913</f>
        <v>0.501</v>
      </c>
      <c r="Y724" s="122">
        <f>Datasheet!Y913</f>
        <v>0.5</v>
      </c>
      <c r="Z724" s="122">
        <f>Datasheet!Z913</f>
        <v>0.47799999999999998</v>
      </c>
      <c r="AA724" s="122">
        <f>Datasheet!AA913</f>
        <v>0.113</v>
      </c>
      <c r="AB724" s="122">
        <f>Datasheet!AB913</f>
        <v>0</v>
      </c>
      <c r="AC724" s="122">
        <f>Datasheet!AC913</f>
        <v>0</v>
      </c>
      <c r="AD724" s="122">
        <f>Datasheet!AD913</f>
        <v>0</v>
      </c>
      <c r="AE724" s="122">
        <f>Datasheet!AE913</f>
        <v>0</v>
      </c>
      <c r="AF724" s="122">
        <f>Datasheet!AF913</f>
        <v>0</v>
      </c>
      <c r="AG724" s="122">
        <f>Datasheet!AG913</f>
        <v>0</v>
      </c>
      <c r="AH724" s="122">
        <f>Datasheet!AH913</f>
        <v>0</v>
      </c>
      <c r="AI724" s="122">
        <f>Datasheet!AI913</f>
        <v>0</v>
      </c>
      <c r="AJ724" s="122">
        <f>Datasheet!AJ913</f>
        <v>0</v>
      </c>
      <c r="AK724" s="122">
        <f>Datasheet!AK913</f>
        <v>0</v>
      </c>
    </row>
    <row r="725" spans="6:38" s="223" customFormat="1" x14ac:dyDescent="0.25">
      <c r="G725" s="9" t="s">
        <v>319</v>
      </c>
      <c r="H725" s="9" t="s">
        <v>1318</v>
      </c>
      <c r="Q725" s="122">
        <f>Datasheet!Q914</f>
        <v>0.77400000000000002</v>
      </c>
      <c r="R725" s="122">
        <f>Datasheet!R914</f>
        <v>0.66700000000000004</v>
      </c>
      <c r="S725" s="122">
        <f>Datasheet!S914</f>
        <v>0.74</v>
      </c>
      <c r="T725" s="122">
        <f>Datasheet!T914</f>
        <v>0.71</v>
      </c>
      <c r="U725" s="122">
        <f>Datasheet!U914</f>
        <v>0.79</v>
      </c>
      <c r="V725" s="122">
        <f>Datasheet!V914</f>
        <v>0.81899999999999995</v>
      </c>
      <c r="W725" s="122">
        <f>Datasheet!W914</f>
        <v>0.86599999999999999</v>
      </c>
      <c r="X725" s="122">
        <f>Datasheet!X914</f>
        <v>0.81599999999999995</v>
      </c>
      <c r="Y725" s="122">
        <f>Datasheet!Y914</f>
        <v>0.80700000000000005</v>
      </c>
      <c r="Z725" s="122">
        <f>Datasheet!Z914</f>
        <v>0.81299999999999994</v>
      </c>
      <c r="AA725" s="122">
        <f>Datasheet!AA914</f>
        <v>0.42599999999999999</v>
      </c>
      <c r="AB725" s="122">
        <f>Datasheet!AB914</f>
        <v>0</v>
      </c>
      <c r="AC725" s="122">
        <f>Datasheet!AC914</f>
        <v>0</v>
      </c>
      <c r="AD725" s="122">
        <f>Datasheet!AD914</f>
        <v>0</v>
      </c>
      <c r="AE725" s="122">
        <f>Datasheet!AE914</f>
        <v>0</v>
      </c>
      <c r="AF725" s="122">
        <f>Datasheet!AF914</f>
        <v>0</v>
      </c>
      <c r="AG725" s="122">
        <f>Datasheet!AG914</f>
        <v>0</v>
      </c>
      <c r="AH725" s="122">
        <f>Datasheet!AH914</f>
        <v>0</v>
      </c>
      <c r="AI725" s="122">
        <f>Datasheet!AI914</f>
        <v>0</v>
      </c>
      <c r="AJ725" s="122">
        <f>Datasheet!AJ914</f>
        <v>0</v>
      </c>
      <c r="AK725" s="122">
        <f>Datasheet!AK914</f>
        <v>0</v>
      </c>
    </row>
    <row r="726" spans="6:38" s="223" customFormat="1" x14ac:dyDescent="0.25">
      <c r="G726" s="9" t="s">
        <v>320</v>
      </c>
      <c r="H726" s="9" t="s">
        <v>1318</v>
      </c>
      <c r="Q726" s="122">
        <f>Datasheet!Q915</f>
        <v>0.88500000000000001</v>
      </c>
      <c r="R726" s="122">
        <f>Datasheet!R915</f>
        <v>0.88500000000000001</v>
      </c>
      <c r="S726" s="122">
        <f>Datasheet!S915</f>
        <v>0.87</v>
      </c>
      <c r="T726" s="122">
        <f>Datasheet!T915</f>
        <v>0.82</v>
      </c>
      <c r="U726" s="122">
        <f>Datasheet!U915</f>
        <v>0.88</v>
      </c>
      <c r="V726" s="122">
        <f>Datasheet!V915</f>
        <v>0.9</v>
      </c>
      <c r="W726" s="122">
        <f>Datasheet!W915</f>
        <v>0.92300000000000004</v>
      </c>
      <c r="X726" s="122">
        <f>Datasheet!X915</f>
        <v>0.86899999999999999</v>
      </c>
      <c r="Y726" s="122">
        <f>Datasheet!Y915</f>
        <v>0.877</v>
      </c>
      <c r="Z726" s="122">
        <f>Datasheet!Z915</f>
        <v>0.84099999999999997</v>
      </c>
      <c r="AA726" s="122">
        <f>Datasheet!AA915</f>
        <v>0.70699999999999996</v>
      </c>
      <c r="AB726" s="122">
        <f>Datasheet!AB915</f>
        <v>0</v>
      </c>
      <c r="AC726" s="122">
        <f>Datasheet!AC915</f>
        <v>0</v>
      </c>
      <c r="AD726" s="122">
        <f>Datasheet!AD915</f>
        <v>0</v>
      </c>
      <c r="AE726" s="122">
        <f>Datasheet!AE915</f>
        <v>0</v>
      </c>
      <c r="AF726" s="122">
        <f>Datasheet!AF915</f>
        <v>0</v>
      </c>
      <c r="AG726" s="122">
        <f>Datasheet!AG915</f>
        <v>0</v>
      </c>
      <c r="AH726" s="122">
        <f>Datasheet!AH915</f>
        <v>0</v>
      </c>
      <c r="AI726" s="122">
        <f>Datasheet!AI915</f>
        <v>0</v>
      </c>
      <c r="AJ726" s="122">
        <f>Datasheet!AJ915</f>
        <v>0</v>
      </c>
      <c r="AK726" s="122">
        <f>Datasheet!AK915</f>
        <v>0</v>
      </c>
    </row>
    <row r="727" spans="6:38" s="223" customFormat="1" x14ac:dyDescent="0.25">
      <c r="G727" s="9" t="s">
        <v>321</v>
      </c>
      <c r="H727" s="9" t="s">
        <v>1318</v>
      </c>
      <c r="Q727" s="122">
        <f>Datasheet!Q916</f>
        <v>0.88100000000000001</v>
      </c>
      <c r="R727" s="122">
        <f>Datasheet!R916</f>
        <v>0.88300000000000001</v>
      </c>
      <c r="S727" s="122">
        <f>Datasheet!S916</f>
        <v>0.86</v>
      </c>
      <c r="T727" s="122">
        <f>Datasheet!T916</f>
        <v>0.81</v>
      </c>
      <c r="U727" s="122">
        <f>Datasheet!U916</f>
        <v>0.88</v>
      </c>
      <c r="V727" s="122">
        <f>Datasheet!V916</f>
        <v>0.85899999999999999</v>
      </c>
      <c r="W727" s="122">
        <f>Datasheet!W916</f>
        <v>0.872</v>
      </c>
      <c r="X727" s="122">
        <f>Datasheet!X916</f>
        <v>0.878</v>
      </c>
      <c r="Y727" s="122">
        <f>Datasheet!Y916</f>
        <v>0.85499999999999998</v>
      </c>
      <c r="Z727" s="122">
        <f>Datasheet!Z916</f>
        <v>0.86</v>
      </c>
      <c r="AA727" s="122">
        <f>Datasheet!AA916</f>
        <v>0.71099999999999997</v>
      </c>
      <c r="AB727" s="122">
        <f>Datasheet!AB916</f>
        <v>0</v>
      </c>
      <c r="AC727" s="122">
        <f>Datasheet!AC916</f>
        <v>0</v>
      </c>
      <c r="AD727" s="122">
        <f>Datasheet!AD916</f>
        <v>0</v>
      </c>
      <c r="AE727" s="122">
        <f>Datasheet!AE916</f>
        <v>0</v>
      </c>
      <c r="AF727" s="122">
        <f>Datasheet!AF916</f>
        <v>0</v>
      </c>
      <c r="AG727" s="122">
        <f>Datasheet!AG916</f>
        <v>0</v>
      </c>
      <c r="AH727" s="122">
        <f>Datasheet!AH916</f>
        <v>0</v>
      </c>
      <c r="AI727" s="122">
        <f>Datasheet!AI916</f>
        <v>0</v>
      </c>
      <c r="AJ727" s="122">
        <f>Datasheet!AJ916</f>
        <v>0</v>
      </c>
      <c r="AK727" s="122">
        <f>Datasheet!AK916</f>
        <v>0</v>
      </c>
    </row>
    <row r="728" spans="6:38" s="223" customFormat="1" x14ac:dyDescent="0.25">
      <c r="G728" s="9" t="s">
        <v>322</v>
      </c>
      <c r="H728" s="9" t="s">
        <v>1318</v>
      </c>
      <c r="Q728" s="122">
        <f>Datasheet!Q917</f>
        <v>0.82199999999999995</v>
      </c>
      <c r="R728" s="122">
        <f>Datasheet!R917</f>
        <v>0.83</v>
      </c>
      <c r="S728" s="122">
        <f>Datasheet!S917</f>
        <v>0.83</v>
      </c>
      <c r="T728" s="122">
        <f>Datasheet!T917</f>
        <v>0.81</v>
      </c>
      <c r="U728" s="122">
        <f>Datasheet!U917</f>
        <v>0.78</v>
      </c>
      <c r="V728" s="122">
        <f>Datasheet!V917</f>
        <v>0.81799999999999995</v>
      </c>
      <c r="W728" s="122">
        <f>Datasheet!W917</f>
        <v>0.84699999999999998</v>
      </c>
      <c r="X728" s="122">
        <f>Datasheet!X917</f>
        <v>0.84899999999999998</v>
      </c>
      <c r="Y728" s="122">
        <f>Datasheet!Y917</f>
        <v>0.83599999999999997</v>
      </c>
      <c r="Z728" s="122">
        <f>Datasheet!Z917</f>
        <v>0.83099999999999996</v>
      </c>
      <c r="AA728" s="122">
        <f>Datasheet!AA917</f>
        <v>0.72199999999999998</v>
      </c>
      <c r="AB728" s="122">
        <f>Datasheet!AB917</f>
        <v>0</v>
      </c>
      <c r="AC728" s="122">
        <f>Datasheet!AC917</f>
        <v>0</v>
      </c>
      <c r="AD728" s="122">
        <f>Datasheet!AD917</f>
        <v>0</v>
      </c>
      <c r="AE728" s="122">
        <f>Datasheet!AE917</f>
        <v>0</v>
      </c>
      <c r="AF728" s="122">
        <f>Datasheet!AF917</f>
        <v>0</v>
      </c>
      <c r="AG728" s="122">
        <f>Datasheet!AG917</f>
        <v>0</v>
      </c>
      <c r="AH728" s="122">
        <f>Datasheet!AH917</f>
        <v>0</v>
      </c>
      <c r="AI728" s="122">
        <f>Datasheet!AI917</f>
        <v>0</v>
      </c>
      <c r="AJ728" s="122">
        <f>Datasheet!AJ917</f>
        <v>0</v>
      </c>
      <c r="AK728" s="122">
        <f>Datasheet!AK917</f>
        <v>0</v>
      </c>
    </row>
    <row r="729" spans="6:38" s="223" customFormat="1" x14ac:dyDescent="0.25">
      <c r="G729" s="9" t="s">
        <v>323</v>
      </c>
      <c r="H729" s="9" t="s">
        <v>1318</v>
      </c>
      <c r="Q729" s="122">
        <f>Datasheet!Q918</f>
        <v>0.37</v>
      </c>
      <c r="R729" s="122">
        <f>Datasheet!R918</f>
        <v>0.34499999999999997</v>
      </c>
      <c r="S729" s="122">
        <f>Datasheet!S918</f>
        <v>0.36</v>
      </c>
      <c r="T729" s="122">
        <f>Datasheet!T918</f>
        <v>0.31</v>
      </c>
      <c r="U729" s="122">
        <f>Datasheet!U918</f>
        <v>0.41</v>
      </c>
      <c r="V729" s="122">
        <f>Datasheet!V918</f>
        <v>0.40600000000000003</v>
      </c>
      <c r="W729" s="122">
        <f>Datasheet!W918</f>
        <v>0.432</v>
      </c>
      <c r="X729" s="122">
        <f>Datasheet!X918</f>
        <v>0.45500000000000002</v>
      </c>
      <c r="Y729" s="122">
        <f>Datasheet!Y918</f>
        <v>0.45300000000000001</v>
      </c>
      <c r="Z729" s="122">
        <f>Datasheet!Z918</f>
        <v>0.47399999999999998</v>
      </c>
      <c r="AA729" s="122">
        <f>Datasheet!AA918</f>
        <v>0.64700000000000002</v>
      </c>
      <c r="AB729" s="122">
        <f>Datasheet!AB918</f>
        <v>0</v>
      </c>
      <c r="AC729" s="122">
        <f>Datasheet!AC918</f>
        <v>0</v>
      </c>
      <c r="AD729" s="122">
        <f>Datasheet!AD918</f>
        <v>0</v>
      </c>
      <c r="AE729" s="122">
        <f>Datasheet!AE918</f>
        <v>0</v>
      </c>
      <c r="AF729" s="122">
        <f>Datasheet!AF918</f>
        <v>0</v>
      </c>
      <c r="AG729" s="122">
        <f>Datasheet!AG918</f>
        <v>0</v>
      </c>
      <c r="AH729" s="122">
        <f>Datasheet!AH918</f>
        <v>0</v>
      </c>
      <c r="AI729" s="122">
        <f>Datasheet!AI918</f>
        <v>0</v>
      </c>
      <c r="AJ729" s="122">
        <f>Datasheet!AJ918</f>
        <v>0</v>
      </c>
      <c r="AK729" s="122">
        <f>Datasheet!AK918</f>
        <v>0</v>
      </c>
    </row>
    <row r="730" spans="6:38" s="223" customFormat="1" x14ac:dyDescent="0.25">
      <c r="G730" s="9" t="s">
        <v>324</v>
      </c>
      <c r="H730" s="9" t="s">
        <v>1318</v>
      </c>
      <c r="Q730" s="122">
        <f>Datasheet!Q919</f>
        <v>0.15</v>
      </c>
      <c r="R730" s="122">
        <f>Datasheet!R919</f>
        <v>0.129</v>
      </c>
      <c r="S730" s="122">
        <f>Datasheet!S919</f>
        <v>0.17</v>
      </c>
      <c r="T730" s="122">
        <f>Datasheet!T919</f>
        <v>0.14000000000000001</v>
      </c>
      <c r="U730" s="122">
        <f>Datasheet!U919</f>
        <v>0.14000000000000001</v>
      </c>
      <c r="V730" s="122">
        <f>Datasheet!V919</f>
        <v>0.16200000000000001</v>
      </c>
      <c r="W730" s="122">
        <f>Datasheet!W919</f>
        <v>0.13900000000000001</v>
      </c>
      <c r="X730" s="122">
        <f>Datasheet!X919</f>
        <v>0.14699999999999999</v>
      </c>
      <c r="Y730" s="122">
        <f>Datasheet!Y919</f>
        <v>0.154</v>
      </c>
      <c r="Z730" s="122">
        <f>Datasheet!Z919</f>
        <v>0.14499999999999999</v>
      </c>
      <c r="AA730" s="122">
        <f>Datasheet!AA919</f>
        <v>0.20699999999999999</v>
      </c>
      <c r="AB730" s="122">
        <f>Datasheet!AB919</f>
        <v>0</v>
      </c>
      <c r="AC730" s="122">
        <f>Datasheet!AC919</f>
        <v>0</v>
      </c>
      <c r="AD730" s="122">
        <f>Datasheet!AD919</f>
        <v>0</v>
      </c>
      <c r="AE730" s="122">
        <f>Datasheet!AE919</f>
        <v>0</v>
      </c>
      <c r="AF730" s="122">
        <f>Datasheet!AF919</f>
        <v>0</v>
      </c>
      <c r="AG730" s="122">
        <f>Datasheet!AG919</f>
        <v>0</v>
      </c>
      <c r="AH730" s="122">
        <f>Datasheet!AH919</f>
        <v>0</v>
      </c>
      <c r="AI730" s="122">
        <f>Datasheet!AI919</f>
        <v>0</v>
      </c>
      <c r="AJ730" s="122">
        <f>Datasheet!AJ919</f>
        <v>0</v>
      </c>
      <c r="AK730" s="122">
        <f>Datasheet!AK919</f>
        <v>0</v>
      </c>
    </row>
    <row r="731" spans="6:38" s="223" customFormat="1" x14ac:dyDescent="0.25">
      <c r="G731" s="9" t="s">
        <v>325</v>
      </c>
      <c r="H731" s="9" t="s">
        <v>1318</v>
      </c>
      <c r="Q731" s="122">
        <f>Datasheet!Q920</f>
        <v>0.3</v>
      </c>
      <c r="R731" s="122">
        <f>Datasheet!R920</f>
        <v>0.307</v>
      </c>
      <c r="S731" s="122">
        <f>Datasheet!S920</f>
        <v>0.32</v>
      </c>
      <c r="T731" s="122">
        <f>Datasheet!T920</f>
        <v>0.34</v>
      </c>
      <c r="U731" s="122">
        <f>Datasheet!U920</f>
        <v>0.43</v>
      </c>
      <c r="V731" s="122">
        <f>Datasheet!V920</f>
        <v>0.43</v>
      </c>
      <c r="W731" s="122">
        <f>Datasheet!W920</f>
        <v>0.46800000000000003</v>
      </c>
      <c r="X731" s="122">
        <f>Datasheet!X920</f>
        <v>0.46899999999999997</v>
      </c>
      <c r="Y731" s="122">
        <f>Datasheet!Y920</f>
        <v>0.42</v>
      </c>
      <c r="Z731" s="122">
        <f>Datasheet!Z920</f>
        <v>0.41699999999999998</v>
      </c>
      <c r="AA731" s="122">
        <f>Datasheet!AA920</f>
        <v>0.498</v>
      </c>
      <c r="AB731" s="122">
        <f>Datasheet!AB920</f>
        <v>0</v>
      </c>
      <c r="AC731" s="122">
        <f>Datasheet!AC920</f>
        <v>0</v>
      </c>
      <c r="AD731" s="122">
        <f>Datasheet!AD920</f>
        <v>0</v>
      </c>
      <c r="AE731" s="122">
        <f>Datasheet!AE920</f>
        <v>0</v>
      </c>
      <c r="AF731" s="122">
        <f>Datasheet!AF920</f>
        <v>0</v>
      </c>
      <c r="AG731" s="122">
        <f>Datasheet!AG920</f>
        <v>0</v>
      </c>
      <c r="AH731" s="122">
        <f>Datasheet!AH920</f>
        <v>0</v>
      </c>
      <c r="AI731" s="122">
        <f>Datasheet!AI920</f>
        <v>0</v>
      </c>
      <c r="AJ731" s="122">
        <f>Datasheet!AJ920</f>
        <v>0</v>
      </c>
      <c r="AK731" s="122">
        <f>Datasheet!AK920</f>
        <v>0</v>
      </c>
    </row>
    <row r="732" spans="6:38" x14ac:dyDescent="0.25">
      <c r="F732" t="s">
        <v>487</v>
      </c>
      <c r="Q732" s="122"/>
    </row>
    <row r="733" spans="6:38" x14ac:dyDescent="0.25">
      <c r="G733" s="9" t="s">
        <v>314</v>
      </c>
      <c r="H733" s="9" t="s">
        <v>1267</v>
      </c>
      <c r="I733" s="223"/>
      <c r="J733" s="223"/>
      <c r="K733" s="223"/>
      <c r="L733" s="223"/>
      <c r="M733" s="223"/>
      <c r="N733" s="223"/>
      <c r="O733" s="223"/>
      <c r="P733" s="223"/>
      <c r="Q733" s="223">
        <v>0</v>
      </c>
      <c r="R733" s="223">
        <v>0</v>
      </c>
      <c r="S733" s="223">
        <v>0</v>
      </c>
      <c r="T733" s="223">
        <v>0</v>
      </c>
      <c r="U733" s="223">
        <v>0</v>
      </c>
      <c r="V733" s="223">
        <v>0</v>
      </c>
      <c r="W733" s="223">
        <v>0</v>
      </c>
      <c r="X733" s="223">
        <v>0</v>
      </c>
      <c r="Y733" s="223">
        <v>0</v>
      </c>
      <c r="Z733">
        <v>0</v>
      </c>
      <c r="AA733" s="223">
        <v>0</v>
      </c>
      <c r="AB733" s="223">
        <v>0</v>
      </c>
      <c r="AC733" s="223">
        <v>0</v>
      </c>
      <c r="AD733" s="223">
        <v>0</v>
      </c>
      <c r="AE733" s="223">
        <v>0</v>
      </c>
      <c r="AF733" s="223">
        <v>0</v>
      </c>
      <c r="AG733" s="223">
        <v>0</v>
      </c>
      <c r="AH733" s="223">
        <v>0</v>
      </c>
      <c r="AI733" s="223">
        <v>0</v>
      </c>
      <c r="AJ733" s="223">
        <v>0</v>
      </c>
      <c r="AK733" s="223">
        <v>0</v>
      </c>
      <c r="AL733" s="59"/>
    </row>
    <row r="734" spans="6:38" x14ac:dyDescent="0.25">
      <c r="G734" s="9" t="s">
        <v>315</v>
      </c>
      <c r="H734" s="9" t="s">
        <v>1267</v>
      </c>
      <c r="I734" s="223"/>
      <c r="J734" s="223"/>
      <c r="K734" s="223"/>
      <c r="L734" s="223"/>
      <c r="M734" s="223"/>
      <c r="N734" s="223"/>
      <c r="O734" s="223"/>
      <c r="P734" s="223"/>
      <c r="Q734" s="223">
        <v>0</v>
      </c>
      <c r="R734" s="223">
        <v>0</v>
      </c>
      <c r="S734" s="223">
        <v>0</v>
      </c>
      <c r="T734" s="223">
        <v>0</v>
      </c>
      <c r="U734" s="223">
        <v>0</v>
      </c>
      <c r="V734" s="223">
        <v>0</v>
      </c>
      <c r="W734" s="223">
        <v>0</v>
      </c>
      <c r="X734" s="223">
        <v>0</v>
      </c>
      <c r="Y734" s="223">
        <v>0</v>
      </c>
      <c r="Z734">
        <v>0</v>
      </c>
      <c r="AA734" s="223">
        <v>0</v>
      </c>
      <c r="AB734" s="223">
        <v>0</v>
      </c>
      <c r="AC734" s="223">
        <v>0</v>
      </c>
      <c r="AD734" s="223">
        <v>0</v>
      </c>
      <c r="AE734" s="223">
        <v>0</v>
      </c>
      <c r="AF734" s="223">
        <v>0</v>
      </c>
      <c r="AG734" s="223">
        <v>0</v>
      </c>
      <c r="AH734" s="223">
        <v>0</v>
      </c>
      <c r="AI734" s="223">
        <v>0</v>
      </c>
      <c r="AJ734" s="223">
        <v>0</v>
      </c>
      <c r="AK734" s="223">
        <v>0</v>
      </c>
    </row>
    <row r="735" spans="6:38" x14ac:dyDescent="0.25">
      <c r="G735" s="9" t="s">
        <v>316</v>
      </c>
      <c r="H735" s="9" t="s">
        <v>1267</v>
      </c>
      <c r="I735" s="223"/>
      <c r="J735" s="223"/>
      <c r="K735" s="223"/>
      <c r="L735" s="223"/>
      <c r="M735" s="223"/>
      <c r="N735" s="223"/>
      <c r="O735" s="223"/>
      <c r="P735" s="223"/>
      <c r="Q735" s="223">
        <v>0</v>
      </c>
      <c r="R735" s="223">
        <v>0</v>
      </c>
      <c r="S735" s="223">
        <v>0</v>
      </c>
      <c r="T735" s="223">
        <v>0</v>
      </c>
      <c r="U735" s="223">
        <v>0</v>
      </c>
      <c r="V735" s="223">
        <v>0</v>
      </c>
      <c r="W735" s="223">
        <v>0</v>
      </c>
      <c r="X735" s="223">
        <v>0</v>
      </c>
      <c r="Y735" s="223">
        <v>0</v>
      </c>
      <c r="Z735">
        <v>0</v>
      </c>
      <c r="AA735" s="223">
        <v>0</v>
      </c>
      <c r="AB735" s="223">
        <v>0</v>
      </c>
      <c r="AC735" s="223">
        <v>0</v>
      </c>
      <c r="AD735" s="223">
        <v>0</v>
      </c>
      <c r="AE735" s="223">
        <v>0</v>
      </c>
      <c r="AF735" s="223">
        <v>0</v>
      </c>
      <c r="AG735" s="223">
        <v>0</v>
      </c>
      <c r="AH735" s="223">
        <v>0</v>
      </c>
      <c r="AI735" s="223">
        <v>0</v>
      </c>
      <c r="AJ735" s="223">
        <v>0</v>
      </c>
      <c r="AK735" s="223">
        <v>0</v>
      </c>
    </row>
    <row r="736" spans="6:38" s="223" customFormat="1" x14ac:dyDescent="0.25">
      <c r="G736" s="9" t="s">
        <v>317</v>
      </c>
      <c r="H736" s="9" t="s">
        <v>1267</v>
      </c>
      <c r="Q736" s="223">
        <v>0</v>
      </c>
      <c r="R736" s="223">
        <v>0</v>
      </c>
      <c r="S736" s="223">
        <v>0</v>
      </c>
      <c r="T736" s="223">
        <v>0</v>
      </c>
      <c r="U736" s="223">
        <v>0</v>
      </c>
      <c r="V736" s="223">
        <v>0</v>
      </c>
      <c r="W736" s="223">
        <v>0</v>
      </c>
      <c r="X736" s="223">
        <v>0</v>
      </c>
      <c r="Y736" s="223">
        <v>0</v>
      </c>
      <c r="Z736" s="223">
        <v>0</v>
      </c>
      <c r="AA736" s="223">
        <v>0</v>
      </c>
      <c r="AB736" s="223">
        <v>0</v>
      </c>
      <c r="AC736" s="223">
        <v>0</v>
      </c>
      <c r="AD736" s="223">
        <v>0</v>
      </c>
      <c r="AE736" s="223">
        <v>0</v>
      </c>
      <c r="AF736" s="223">
        <v>0</v>
      </c>
      <c r="AG736" s="223">
        <v>0</v>
      </c>
      <c r="AH736" s="223">
        <v>0</v>
      </c>
      <c r="AI736" s="223">
        <v>0</v>
      </c>
      <c r="AJ736" s="223">
        <v>0</v>
      </c>
      <c r="AK736" s="223">
        <v>0</v>
      </c>
    </row>
    <row r="737" spans="6:37" s="223" customFormat="1" x14ac:dyDescent="0.25">
      <c r="G737" s="9" t="s">
        <v>318</v>
      </c>
      <c r="H737" s="9" t="s">
        <v>1267</v>
      </c>
      <c r="Q737" s="223">
        <v>0</v>
      </c>
      <c r="R737" s="223">
        <v>0</v>
      </c>
      <c r="S737" s="223">
        <v>0</v>
      </c>
      <c r="T737" s="223">
        <v>0</v>
      </c>
      <c r="U737" s="223">
        <v>0</v>
      </c>
      <c r="V737" s="223">
        <v>0</v>
      </c>
      <c r="W737" s="223">
        <v>0</v>
      </c>
      <c r="X737" s="223">
        <v>0</v>
      </c>
      <c r="Y737" s="223">
        <v>0</v>
      </c>
      <c r="Z737" s="223">
        <v>0</v>
      </c>
      <c r="AA737" s="223">
        <v>0</v>
      </c>
      <c r="AB737" s="223">
        <v>0</v>
      </c>
      <c r="AC737" s="223">
        <v>0</v>
      </c>
      <c r="AD737" s="223">
        <v>0</v>
      </c>
      <c r="AE737" s="223">
        <v>0</v>
      </c>
      <c r="AF737" s="223">
        <v>0</v>
      </c>
      <c r="AG737" s="223">
        <v>0</v>
      </c>
      <c r="AH737" s="223">
        <v>0</v>
      </c>
      <c r="AI737" s="223">
        <v>0</v>
      </c>
      <c r="AJ737" s="223">
        <v>0</v>
      </c>
      <c r="AK737" s="223">
        <v>0</v>
      </c>
    </row>
    <row r="738" spans="6:37" s="223" customFormat="1" x14ac:dyDescent="0.25">
      <c r="G738" s="9" t="s">
        <v>319</v>
      </c>
      <c r="H738" s="9" t="s">
        <v>1267</v>
      </c>
      <c r="I738" s="59"/>
      <c r="J738" s="59"/>
      <c r="K738" s="59"/>
      <c r="L738" s="59"/>
      <c r="M738" s="59"/>
      <c r="N738" s="59"/>
      <c r="O738" s="59"/>
      <c r="P738" s="59"/>
      <c r="Q738" s="59">
        <f>Datasheet!Q931/Q785</f>
        <v>248.14754098360655</v>
      </c>
      <c r="R738" s="59">
        <f>Datasheet!R931/R785</f>
        <v>219.98360655737704</v>
      </c>
      <c r="S738" s="59">
        <f>Datasheet!S931/S785</f>
        <v>282.71311475409834</v>
      </c>
      <c r="T738" s="59">
        <f>Datasheet!T931/T785</f>
        <v>248.57377049180329</v>
      </c>
      <c r="U738" s="59">
        <f>Datasheet!U931/U785</f>
        <v>143.0655737704918</v>
      </c>
      <c r="V738" s="59">
        <f>Datasheet!V931/V785</f>
        <v>198.54098360655738</v>
      </c>
      <c r="W738" s="59">
        <f>Datasheet!W931/W785</f>
        <v>222.91803278688525</v>
      </c>
      <c r="X738" s="59">
        <f>Datasheet!X931/X785</f>
        <v>240.31147540983608</v>
      </c>
      <c r="Y738" s="59">
        <f>Datasheet!Y931/Y785</f>
        <v>235.39344262295083</v>
      </c>
      <c r="Z738" s="59">
        <f>Datasheet!Z931/Z785</f>
        <v>227.58196721311475</v>
      </c>
      <c r="AA738" s="59">
        <f>Datasheet!AA931/AA785</f>
        <v>317.60655737704917</v>
      </c>
      <c r="AB738" s="59">
        <f>Datasheet!AB931/AB785</f>
        <v>0</v>
      </c>
      <c r="AC738" s="59">
        <f>Datasheet!AC931/AC785</f>
        <v>0</v>
      </c>
      <c r="AD738" s="59">
        <f>Datasheet!AD931/AD785</f>
        <v>0</v>
      </c>
      <c r="AE738" s="59">
        <f>Datasheet!AE931/AE785</f>
        <v>0</v>
      </c>
      <c r="AF738" s="59">
        <f>Datasheet!AF931/AF785</f>
        <v>0</v>
      </c>
      <c r="AG738" s="59">
        <f>Datasheet!AG931/AG785</f>
        <v>0</v>
      </c>
      <c r="AH738" s="59">
        <f>Datasheet!AH931/AH785</f>
        <v>0</v>
      </c>
      <c r="AI738" s="59">
        <f>Datasheet!AI931/AI785</f>
        <v>0</v>
      </c>
      <c r="AJ738" s="59">
        <f>Datasheet!AJ931/AJ785</f>
        <v>0</v>
      </c>
      <c r="AK738" s="59">
        <f>Datasheet!AK931/AK785</f>
        <v>0</v>
      </c>
    </row>
    <row r="739" spans="6:37" s="223" customFormat="1" x14ac:dyDescent="0.25">
      <c r="G739" s="9" t="s">
        <v>320</v>
      </c>
      <c r="H739" s="9" t="s">
        <v>1267</v>
      </c>
      <c r="I739" s="59"/>
      <c r="J739" s="59"/>
      <c r="K739" s="59"/>
      <c r="L739" s="59"/>
      <c r="M739" s="59"/>
      <c r="N739" s="59"/>
      <c r="O739" s="59"/>
      <c r="P739" s="59"/>
      <c r="Q739" s="59">
        <f>Datasheet!Q931/Q785</f>
        <v>248.14754098360655</v>
      </c>
      <c r="R739" s="59">
        <f>Datasheet!R931/R785</f>
        <v>219.98360655737704</v>
      </c>
      <c r="S739" s="59">
        <f>Datasheet!S931/S785</f>
        <v>282.71311475409834</v>
      </c>
      <c r="T739" s="59">
        <f>Datasheet!T931/T785</f>
        <v>248.57377049180329</v>
      </c>
      <c r="U739" s="59">
        <f>Datasheet!U931/U785</f>
        <v>143.0655737704918</v>
      </c>
      <c r="V739" s="59">
        <f>Datasheet!V931/V785</f>
        <v>198.54098360655738</v>
      </c>
      <c r="W739" s="59">
        <f>Datasheet!W931/W785</f>
        <v>222.91803278688525</v>
      </c>
      <c r="X739" s="59">
        <f>Datasheet!X931/X785</f>
        <v>240.31147540983608</v>
      </c>
      <c r="Y739" s="59">
        <f>Datasheet!Y931/Y785</f>
        <v>235.39344262295083</v>
      </c>
      <c r="Z739" s="59">
        <f>Datasheet!Z931/Z785</f>
        <v>227.58196721311475</v>
      </c>
      <c r="AA739" s="59">
        <f>Datasheet!AA931/AA785</f>
        <v>317.60655737704917</v>
      </c>
      <c r="AB739" s="59">
        <f>Datasheet!AB931/AB785</f>
        <v>0</v>
      </c>
      <c r="AC739" s="59">
        <f>Datasheet!AC931/AC785</f>
        <v>0</v>
      </c>
      <c r="AD739" s="59">
        <f>Datasheet!AD931/AD785</f>
        <v>0</v>
      </c>
      <c r="AE739" s="59">
        <f>Datasheet!AE931/AE785</f>
        <v>0</v>
      </c>
      <c r="AF739" s="59">
        <f>Datasheet!AF931/AF785</f>
        <v>0</v>
      </c>
      <c r="AG739" s="59">
        <f>Datasheet!AG931/AG785</f>
        <v>0</v>
      </c>
      <c r="AH739" s="59">
        <f>Datasheet!AH931/AH785</f>
        <v>0</v>
      </c>
      <c r="AI739" s="59">
        <f>Datasheet!AI931/AI785</f>
        <v>0</v>
      </c>
      <c r="AJ739" s="59">
        <f>Datasheet!AJ931/AJ785</f>
        <v>0</v>
      </c>
      <c r="AK739" s="59">
        <f>Datasheet!AK931/AK785</f>
        <v>0</v>
      </c>
    </row>
    <row r="740" spans="6:37" s="223" customFormat="1" x14ac:dyDescent="0.25">
      <c r="G740" s="9" t="s">
        <v>321</v>
      </c>
      <c r="H740" s="9" t="s">
        <v>1267</v>
      </c>
      <c r="I740" s="59"/>
      <c r="J740" s="59"/>
      <c r="K740" s="59"/>
      <c r="L740" s="59"/>
      <c r="M740" s="59"/>
      <c r="N740" s="59"/>
      <c r="O740" s="59"/>
      <c r="P740" s="59"/>
      <c r="Q740" s="59">
        <f>Datasheet!Q931/Q785</f>
        <v>248.14754098360655</v>
      </c>
      <c r="R740" s="59">
        <f>Datasheet!R931/R785</f>
        <v>219.98360655737704</v>
      </c>
      <c r="S740" s="59">
        <f>Datasheet!S931/S785</f>
        <v>282.71311475409834</v>
      </c>
      <c r="T740" s="59">
        <f>Datasheet!T931/T785</f>
        <v>248.57377049180329</v>
      </c>
      <c r="U740" s="59">
        <f>Datasheet!U931/U785</f>
        <v>143.0655737704918</v>
      </c>
      <c r="V740" s="59">
        <f>Datasheet!V931/V785</f>
        <v>198.54098360655738</v>
      </c>
      <c r="W740" s="59">
        <f>Datasheet!W931/W785</f>
        <v>222.91803278688525</v>
      </c>
      <c r="X740" s="59">
        <f>Datasheet!X931/X785</f>
        <v>240.31147540983608</v>
      </c>
      <c r="Y740" s="59">
        <f>Datasheet!Y931/Y785</f>
        <v>235.39344262295083</v>
      </c>
      <c r="Z740" s="59">
        <f>Datasheet!Z931/Z785</f>
        <v>227.58196721311475</v>
      </c>
      <c r="AA740" s="59">
        <f>Datasheet!AA931/AA785</f>
        <v>317.60655737704917</v>
      </c>
      <c r="AB740" s="59">
        <f>Datasheet!AB931/AB785</f>
        <v>0</v>
      </c>
      <c r="AC740" s="59">
        <f>Datasheet!AC931/AC785</f>
        <v>0</v>
      </c>
      <c r="AD740" s="59">
        <f>Datasheet!AD931/AD785</f>
        <v>0</v>
      </c>
      <c r="AE740" s="59">
        <f>Datasheet!AE931/AE785</f>
        <v>0</v>
      </c>
      <c r="AF740" s="59">
        <f>Datasheet!AF931/AF785</f>
        <v>0</v>
      </c>
      <c r="AG740" s="59">
        <f>Datasheet!AG931/AG785</f>
        <v>0</v>
      </c>
      <c r="AH740" s="59">
        <f>Datasheet!AH931/AH785</f>
        <v>0</v>
      </c>
      <c r="AI740" s="59">
        <f>Datasheet!AI931/AI785</f>
        <v>0</v>
      </c>
      <c r="AJ740" s="59">
        <f>Datasheet!AJ931/AJ785</f>
        <v>0</v>
      </c>
      <c r="AK740" s="59">
        <f>Datasheet!AK931/AK785</f>
        <v>0</v>
      </c>
    </row>
    <row r="741" spans="6:37" s="223" customFormat="1" x14ac:dyDescent="0.25">
      <c r="G741" s="9" t="s">
        <v>322</v>
      </c>
      <c r="H741" s="9" t="s">
        <v>1267</v>
      </c>
      <c r="I741" s="59"/>
      <c r="J741" s="59"/>
      <c r="K741" s="59"/>
      <c r="L741" s="59"/>
      <c r="M741" s="59"/>
      <c r="N741" s="59"/>
      <c r="O741" s="59"/>
      <c r="P741" s="59"/>
      <c r="Q741" s="59">
        <f>Datasheet!Q931/Q785</f>
        <v>248.14754098360655</v>
      </c>
      <c r="R741" s="59">
        <f>Datasheet!R931/R785</f>
        <v>219.98360655737704</v>
      </c>
      <c r="S741" s="59">
        <f>Datasheet!S931/S785</f>
        <v>282.71311475409834</v>
      </c>
      <c r="T741" s="59">
        <f>Datasheet!T931/T785</f>
        <v>248.57377049180329</v>
      </c>
      <c r="U741" s="59">
        <f>Datasheet!U931/U785</f>
        <v>143.0655737704918</v>
      </c>
      <c r="V741" s="59">
        <f>Datasheet!V931/V785</f>
        <v>198.54098360655738</v>
      </c>
      <c r="W741" s="59">
        <f>Datasheet!W931/W785</f>
        <v>222.91803278688525</v>
      </c>
      <c r="X741" s="59">
        <f>Datasheet!X931/X785</f>
        <v>240.31147540983608</v>
      </c>
      <c r="Y741" s="59">
        <f>Datasheet!Y931/Y785</f>
        <v>235.39344262295083</v>
      </c>
      <c r="Z741" s="59">
        <f>Datasheet!Z931/Z785</f>
        <v>227.58196721311475</v>
      </c>
      <c r="AA741" s="59">
        <f>Datasheet!AA931/AA785</f>
        <v>317.60655737704917</v>
      </c>
      <c r="AB741" s="59">
        <f>Datasheet!AB931/AB785</f>
        <v>0</v>
      </c>
      <c r="AC741" s="59">
        <f>Datasheet!AC931/AC785</f>
        <v>0</v>
      </c>
      <c r="AD741" s="59">
        <f>Datasheet!AD931/AD785</f>
        <v>0</v>
      </c>
      <c r="AE741" s="59">
        <f>Datasheet!AE931/AE785</f>
        <v>0</v>
      </c>
      <c r="AF741" s="59">
        <f>Datasheet!AF931/AF785</f>
        <v>0</v>
      </c>
      <c r="AG741" s="59">
        <f>Datasheet!AG931/AG785</f>
        <v>0</v>
      </c>
      <c r="AH741" s="59">
        <f>Datasheet!AH931/AH785</f>
        <v>0</v>
      </c>
      <c r="AI741" s="59">
        <f>Datasheet!AI931/AI785</f>
        <v>0</v>
      </c>
      <c r="AJ741" s="59">
        <f>Datasheet!AJ931/AJ785</f>
        <v>0</v>
      </c>
      <c r="AK741" s="59">
        <f>Datasheet!AK931/AK785</f>
        <v>0</v>
      </c>
    </row>
    <row r="742" spans="6:37" s="223" customFormat="1" x14ac:dyDescent="0.25">
      <c r="G742" s="9" t="s">
        <v>323</v>
      </c>
      <c r="H742" s="9" t="s">
        <v>1267</v>
      </c>
      <c r="Q742" s="223">
        <v>0</v>
      </c>
      <c r="R742" s="223">
        <v>0</v>
      </c>
      <c r="S742" s="223">
        <v>0</v>
      </c>
      <c r="T742" s="223">
        <v>0</v>
      </c>
      <c r="U742" s="223">
        <v>0</v>
      </c>
      <c r="V742" s="223">
        <v>0</v>
      </c>
      <c r="W742" s="223">
        <v>0</v>
      </c>
      <c r="X742" s="223">
        <v>0</v>
      </c>
      <c r="Y742" s="223">
        <v>0</v>
      </c>
      <c r="Z742" s="223">
        <v>0</v>
      </c>
      <c r="AA742" s="223">
        <v>0</v>
      </c>
      <c r="AB742" s="223">
        <v>0</v>
      </c>
      <c r="AC742" s="223">
        <v>0</v>
      </c>
      <c r="AD742" s="223">
        <v>0</v>
      </c>
      <c r="AE742" s="223">
        <v>0</v>
      </c>
      <c r="AF742" s="223">
        <v>0</v>
      </c>
      <c r="AG742" s="223">
        <v>0</v>
      </c>
      <c r="AH742" s="223">
        <v>0</v>
      </c>
      <c r="AI742" s="223">
        <v>0</v>
      </c>
      <c r="AJ742" s="223">
        <v>0</v>
      </c>
      <c r="AK742" s="223">
        <v>0</v>
      </c>
    </row>
    <row r="743" spans="6:37" s="223" customFormat="1" x14ac:dyDescent="0.25">
      <c r="G743" s="9" t="s">
        <v>324</v>
      </c>
      <c r="H743" s="9" t="s">
        <v>1267</v>
      </c>
      <c r="Q743" s="223">
        <v>0</v>
      </c>
      <c r="R743" s="223">
        <v>0</v>
      </c>
      <c r="S743" s="223">
        <v>0</v>
      </c>
      <c r="T743" s="223">
        <v>0</v>
      </c>
      <c r="U743" s="223">
        <v>0</v>
      </c>
      <c r="V743" s="223">
        <v>0</v>
      </c>
      <c r="W743" s="223">
        <v>0</v>
      </c>
      <c r="X743" s="223">
        <v>0</v>
      </c>
      <c r="Y743" s="223">
        <v>0</v>
      </c>
      <c r="Z743" s="223">
        <v>0</v>
      </c>
      <c r="AA743" s="223">
        <v>0</v>
      </c>
      <c r="AB743" s="223">
        <v>0</v>
      </c>
      <c r="AC743" s="223">
        <v>0</v>
      </c>
      <c r="AD743" s="223">
        <v>0</v>
      </c>
      <c r="AE743" s="223">
        <v>0</v>
      </c>
      <c r="AF743" s="223">
        <v>0</v>
      </c>
      <c r="AG743" s="223">
        <v>0</v>
      </c>
      <c r="AH743" s="223">
        <v>0</v>
      </c>
      <c r="AI743" s="223">
        <v>0</v>
      </c>
      <c r="AJ743" s="223">
        <v>0</v>
      </c>
      <c r="AK743" s="223">
        <v>0</v>
      </c>
    </row>
    <row r="744" spans="6:37" s="223" customFormat="1" x14ac:dyDescent="0.25">
      <c r="G744" s="9" t="s">
        <v>325</v>
      </c>
      <c r="H744" s="9" t="s">
        <v>1267</v>
      </c>
      <c r="Q744" s="223">
        <v>0</v>
      </c>
      <c r="R744" s="223">
        <v>0</v>
      </c>
      <c r="S744" s="223">
        <v>0</v>
      </c>
      <c r="T744" s="223">
        <v>0</v>
      </c>
      <c r="U744" s="223">
        <v>0</v>
      </c>
      <c r="V744" s="223">
        <v>0</v>
      </c>
      <c r="W744" s="223">
        <v>0</v>
      </c>
      <c r="X744" s="223">
        <v>0</v>
      </c>
      <c r="Y744" s="223">
        <v>0</v>
      </c>
      <c r="Z744" s="223">
        <v>0</v>
      </c>
      <c r="AA744" s="223">
        <v>0</v>
      </c>
      <c r="AB744" s="223">
        <v>0</v>
      </c>
      <c r="AC744" s="223">
        <v>0</v>
      </c>
      <c r="AD744" s="223">
        <v>0</v>
      </c>
      <c r="AE744" s="223">
        <v>0</v>
      </c>
      <c r="AF744" s="223">
        <v>0</v>
      </c>
      <c r="AG744" s="223">
        <v>0</v>
      </c>
      <c r="AH744" s="223">
        <v>0</v>
      </c>
      <c r="AI744" s="223">
        <v>0</v>
      </c>
      <c r="AJ744" s="223">
        <v>0</v>
      </c>
      <c r="AK744" s="223">
        <v>0</v>
      </c>
    </row>
    <row r="745" spans="6:37" x14ac:dyDescent="0.25">
      <c r="F745" t="s">
        <v>488</v>
      </c>
      <c r="H745" s="9"/>
    </row>
    <row r="746" spans="6:37" x14ac:dyDescent="0.25">
      <c r="G746" s="9" t="s">
        <v>314</v>
      </c>
      <c r="H746" s="9" t="s">
        <v>1267</v>
      </c>
      <c r="Q746" s="223">
        <v>0</v>
      </c>
      <c r="R746" s="223">
        <v>0</v>
      </c>
      <c r="S746" s="223">
        <v>0</v>
      </c>
      <c r="T746" s="223">
        <v>0</v>
      </c>
      <c r="U746" s="223">
        <v>0</v>
      </c>
      <c r="V746" s="223">
        <v>0</v>
      </c>
      <c r="W746" s="223">
        <v>0</v>
      </c>
      <c r="X746" s="223">
        <v>0</v>
      </c>
      <c r="Y746" s="223">
        <v>0</v>
      </c>
      <c r="Z746" s="223">
        <v>0</v>
      </c>
      <c r="AA746" s="223">
        <v>0</v>
      </c>
      <c r="AB746" s="223">
        <v>0</v>
      </c>
      <c r="AC746" s="223">
        <v>0</v>
      </c>
      <c r="AD746" s="223">
        <v>0</v>
      </c>
      <c r="AE746" s="223">
        <v>0</v>
      </c>
      <c r="AF746" s="223">
        <v>0</v>
      </c>
      <c r="AG746" s="223">
        <v>0</v>
      </c>
      <c r="AH746" s="223">
        <v>0</v>
      </c>
      <c r="AI746" s="223">
        <v>0</v>
      </c>
      <c r="AJ746" s="223">
        <v>0</v>
      </c>
      <c r="AK746" s="223">
        <v>0</v>
      </c>
    </row>
    <row r="747" spans="6:37" x14ac:dyDescent="0.25">
      <c r="G747" s="9" t="s">
        <v>315</v>
      </c>
      <c r="H747" s="9" t="s">
        <v>1267</v>
      </c>
      <c r="Q747" s="223">
        <v>0</v>
      </c>
      <c r="R747" s="223">
        <v>0</v>
      </c>
      <c r="S747" s="223">
        <v>0</v>
      </c>
      <c r="T747" s="223">
        <v>0</v>
      </c>
      <c r="U747" s="223">
        <v>0</v>
      </c>
      <c r="V747" s="223">
        <v>0</v>
      </c>
      <c r="W747" s="223">
        <v>0</v>
      </c>
      <c r="X747" s="223">
        <v>0</v>
      </c>
      <c r="Y747" s="223">
        <v>0</v>
      </c>
      <c r="Z747">
        <v>0</v>
      </c>
      <c r="AA747" s="223">
        <v>0</v>
      </c>
      <c r="AB747" s="223">
        <v>0</v>
      </c>
      <c r="AC747" s="223">
        <v>0</v>
      </c>
      <c r="AD747" s="223">
        <v>0</v>
      </c>
      <c r="AE747" s="223">
        <v>0</v>
      </c>
      <c r="AF747" s="223">
        <v>0</v>
      </c>
      <c r="AG747" s="223">
        <v>0</v>
      </c>
      <c r="AH747" s="223">
        <v>0</v>
      </c>
      <c r="AI747" s="223">
        <v>0</v>
      </c>
      <c r="AJ747" s="223">
        <v>0</v>
      </c>
      <c r="AK747" s="223">
        <v>0</v>
      </c>
    </row>
    <row r="748" spans="6:37" x14ac:dyDescent="0.25">
      <c r="G748" s="9" t="s">
        <v>316</v>
      </c>
      <c r="H748" s="9" t="s">
        <v>1267</v>
      </c>
      <c r="Q748" s="223">
        <v>0</v>
      </c>
      <c r="R748" s="223">
        <v>0</v>
      </c>
      <c r="S748" s="223">
        <v>0</v>
      </c>
      <c r="T748" s="223">
        <v>0</v>
      </c>
      <c r="U748" s="223">
        <v>0</v>
      </c>
      <c r="V748" s="223">
        <v>0</v>
      </c>
      <c r="W748" s="223">
        <v>0</v>
      </c>
      <c r="X748" s="223">
        <v>0</v>
      </c>
      <c r="Y748" s="223">
        <v>0</v>
      </c>
      <c r="Z748" s="223">
        <v>0</v>
      </c>
      <c r="AA748" s="223">
        <v>0</v>
      </c>
      <c r="AB748" s="223">
        <v>0</v>
      </c>
      <c r="AC748" s="223">
        <v>0</v>
      </c>
      <c r="AD748" s="223">
        <v>0</v>
      </c>
      <c r="AE748" s="223">
        <v>0</v>
      </c>
      <c r="AF748" s="223">
        <v>0</v>
      </c>
      <c r="AG748" s="223">
        <v>0</v>
      </c>
      <c r="AH748" s="223">
        <v>0</v>
      </c>
      <c r="AI748" s="223">
        <v>0</v>
      </c>
      <c r="AJ748" s="223">
        <v>0</v>
      </c>
      <c r="AK748" s="223">
        <v>0</v>
      </c>
    </row>
    <row r="749" spans="6:37" s="223" customFormat="1" x14ac:dyDescent="0.25">
      <c r="G749" s="9" t="s">
        <v>317</v>
      </c>
      <c r="H749" s="9" t="s">
        <v>1267</v>
      </c>
      <c r="Q749" s="223">
        <v>0</v>
      </c>
      <c r="R749" s="223">
        <v>0</v>
      </c>
      <c r="S749" s="223">
        <v>0</v>
      </c>
      <c r="T749" s="223">
        <v>0</v>
      </c>
      <c r="U749" s="223">
        <v>0</v>
      </c>
      <c r="V749" s="223">
        <v>0</v>
      </c>
      <c r="W749" s="223">
        <v>0</v>
      </c>
      <c r="X749" s="223">
        <v>0</v>
      </c>
      <c r="Y749" s="223">
        <v>0</v>
      </c>
      <c r="Z749" s="223">
        <v>0</v>
      </c>
      <c r="AA749" s="223">
        <v>0</v>
      </c>
      <c r="AB749" s="223">
        <v>0</v>
      </c>
      <c r="AC749" s="223">
        <v>0</v>
      </c>
      <c r="AD749" s="223">
        <v>0</v>
      </c>
      <c r="AE749" s="223">
        <v>0</v>
      </c>
      <c r="AF749" s="223">
        <v>0</v>
      </c>
      <c r="AG749" s="223">
        <v>0</v>
      </c>
      <c r="AH749" s="223">
        <v>0</v>
      </c>
      <c r="AI749" s="223">
        <v>0</v>
      </c>
      <c r="AJ749" s="223">
        <v>0</v>
      </c>
      <c r="AK749" s="223">
        <v>0</v>
      </c>
    </row>
    <row r="750" spans="6:37" s="223" customFormat="1" x14ac:dyDescent="0.25">
      <c r="G750" s="9" t="s">
        <v>318</v>
      </c>
      <c r="H750" s="9" t="s">
        <v>1267</v>
      </c>
      <c r="Q750" s="223">
        <v>0</v>
      </c>
      <c r="R750" s="223">
        <v>0</v>
      </c>
      <c r="S750" s="223">
        <v>0</v>
      </c>
      <c r="T750" s="223">
        <v>0</v>
      </c>
      <c r="U750" s="223">
        <v>0</v>
      </c>
      <c r="V750" s="223">
        <v>0</v>
      </c>
      <c r="W750" s="223">
        <v>0</v>
      </c>
      <c r="X750" s="223">
        <v>0</v>
      </c>
      <c r="Y750" s="223">
        <v>0</v>
      </c>
      <c r="Z750" s="223">
        <v>0</v>
      </c>
      <c r="AA750" s="223">
        <v>0</v>
      </c>
      <c r="AB750" s="223">
        <v>0</v>
      </c>
      <c r="AC750" s="223">
        <v>0</v>
      </c>
      <c r="AD750" s="223">
        <v>0</v>
      </c>
      <c r="AE750" s="223">
        <v>0</v>
      </c>
      <c r="AF750" s="223">
        <v>0</v>
      </c>
      <c r="AG750" s="223">
        <v>0</v>
      </c>
      <c r="AH750" s="223">
        <v>0</v>
      </c>
      <c r="AI750" s="223">
        <v>0</v>
      </c>
      <c r="AJ750" s="223">
        <v>0</v>
      </c>
      <c r="AK750" s="223">
        <v>0</v>
      </c>
    </row>
    <row r="751" spans="6:37" s="223" customFormat="1" x14ac:dyDescent="0.25">
      <c r="G751" s="9" t="s">
        <v>319</v>
      </c>
      <c r="H751" s="9" t="s">
        <v>1267</v>
      </c>
      <c r="Q751" s="223">
        <v>118</v>
      </c>
      <c r="R751" s="223">
        <v>118</v>
      </c>
      <c r="S751" s="223">
        <v>118</v>
      </c>
      <c r="T751" s="223">
        <v>118</v>
      </c>
      <c r="U751" s="223">
        <v>118</v>
      </c>
      <c r="V751" s="223">
        <v>118</v>
      </c>
      <c r="W751" s="223">
        <v>118</v>
      </c>
      <c r="X751" s="223">
        <v>118</v>
      </c>
      <c r="Y751" s="223">
        <v>118</v>
      </c>
      <c r="Z751" s="223">
        <v>118</v>
      </c>
      <c r="AA751" s="223">
        <v>118</v>
      </c>
      <c r="AB751" s="223">
        <v>118</v>
      </c>
      <c r="AC751" s="223">
        <v>118</v>
      </c>
      <c r="AD751" s="223">
        <v>118</v>
      </c>
      <c r="AE751" s="223">
        <v>118</v>
      </c>
      <c r="AF751" s="223">
        <v>118</v>
      </c>
      <c r="AG751" s="223">
        <v>118</v>
      </c>
      <c r="AH751" s="223">
        <v>118</v>
      </c>
      <c r="AI751" s="223">
        <v>118</v>
      </c>
      <c r="AJ751" s="223">
        <v>118</v>
      </c>
      <c r="AK751" s="223">
        <v>118</v>
      </c>
    </row>
    <row r="752" spans="6:37" s="223" customFormat="1" x14ac:dyDescent="0.25">
      <c r="G752" s="9" t="s">
        <v>320</v>
      </c>
      <c r="H752" s="9" t="s">
        <v>1267</v>
      </c>
      <c r="Q752" s="223">
        <v>118</v>
      </c>
      <c r="R752" s="223">
        <v>118</v>
      </c>
      <c r="S752" s="223">
        <v>118</v>
      </c>
      <c r="T752" s="223">
        <v>118</v>
      </c>
      <c r="U752" s="223">
        <v>118</v>
      </c>
      <c r="V752" s="223">
        <v>118</v>
      </c>
      <c r="W752" s="223">
        <v>118</v>
      </c>
      <c r="X752" s="223">
        <v>118</v>
      </c>
      <c r="Y752" s="223">
        <v>118</v>
      </c>
      <c r="Z752" s="223">
        <v>118</v>
      </c>
      <c r="AA752" s="223">
        <v>118</v>
      </c>
      <c r="AB752" s="223">
        <v>118</v>
      </c>
      <c r="AC752" s="223">
        <v>118</v>
      </c>
      <c r="AD752" s="223">
        <v>118</v>
      </c>
      <c r="AE752" s="223">
        <v>118</v>
      </c>
      <c r="AF752" s="223">
        <v>118</v>
      </c>
      <c r="AG752" s="223">
        <v>118</v>
      </c>
      <c r="AH752" s="223">
        <v>118</v>
      </c>
      <c r="AI752" s="223">
        <v>118</v>
      </c>
      <c r="AJ752" s="223">
        <v>118</v>
      </c>
      <c r="AK752" s="223">
        <v>118</v>
      </c>
    </row>
    <row r="753" spans="6:37" s="223" customFormat="1" x14ac:dyDescent="0.25">
      <c r="G753" s="9" t="s">
        <v>321</v>
      </c>
      <c r="H753" s="9" t="s">
        <v>1267</v>
      </c>
      <c r="Q753" s="223">
        <v>118</v>
      </c>
      <c r="R753" s="223">
        <v>118</v>
      </c>
      <c r="S753" s="223">
        <v>118</v>
      </c>
      <c r="T753" s="223">
        <v>118</v>
      </c>
      <c r="U753" s="223">
        <v>118</v>
      </c>
      <c r="V753" s="223">
        <v>118</v>
      </c>
      <c r="W753" s="223">
        <v>118</v>
      </c>
      <c r="X753" s="223">
        <v>118</v>
      </c>
      <c r="Y753" s="223">
        <v>118</v>
      </c>
      <c r="Z753" s="223">
        <v>118</v>
      </c>
      <c r="AA753" s="223">
        <v>118</v>
      </c>
      <c r="AB753" s="223">
        <v>118</v>
      </c>
      <c r="AC753" s="223">
        <v>118</v>
      </c>
      <c r="AD753" s="223">
        <v>118</v>
      </c>
      <c r="AE753" s="223">
        <v>118</v>
      </c>
      <c r="AF753" s="223">
        <v>118</v>
      </c>
      <c r="AG753" s="223">
        <v>118</v>
      </c>
      <c r="AH753" s="223">
        <v>118</v>
      </c>
      <c r="AI753" s="223">
        <v>118</v>
      </c>
      <c r="AJ753" s="223">
        <v>118</v>
      </c>
      <c r="AK753" s="223">
        <v>118</v>
      </c>
    </row>
    <row r="754" spans="6:37" s="223" customFormat="1" x14ac:dyDescent="0.25">
      <c r="G754" s="9" t="s">
        <v>322</v>
      </c>
      <c r="H754" s="9" t="s">
        <v>1267</v>
      </c>
      <c r="Q754" s="223">
        <v>118</v>
      </c>
      <c r="R754" s="223">
        <v>118</v>
      </c>
      <c r="S754" s="223">
        <v>118</v>
      </c>
      <c r="T754" s="223">
        <v>118</v>
      </c>
      <c r="U754" s="223">
        <v>118</v>
      </c>
      <c r="V754" s="223">
        <v>118</v>
      </c>
      <c r="W754" s="223">
        <v>118</v>
      </c>
      <c r="X754" s="223">
        <v>118</v>
      </c>
      <c r="Y754" s="223">
        <v>118</v>
      </c>
      <c r="Z754" s="223">
        <v>118</v>
      </c>
      <c r="AA754" s="223">
        <v>118</v>
      </c>
      <c r="AB754" s="223">
        <v>118</v>
      </c>
      <c r="AC754" s="223">
        <v>118</v>
      </c>
      <c r="AD754" s="223">
        <v>118</v>
      </c>
      <c r="AE754" s="223">
        <v>118</v>
      </c>
      <c r="AF754" s="223">
        <v>118</v>
      </c>
      <c r="AG754" s="223">
        <v>118</v>
      </c>
      <c r="AH754" s="223">
        <v>118</v>
      </c>
      <c r="AI754" s="223">
        <v>118</v>
      </c>
      <c r="AJ754" s="223">
        <v>118</v>
      </c>
      <c r="AK754" s="223">
        <v>118</v>
      </c>
    </row>
    <row r="755" spans="6:37" s="223" customFormat="1" x14ac:dyDescent="0.25">
      <c r="G755" s="9" t="s">
        <v>323</v>
      </c>
      <c r="H755" s="9" t="s">
        <v>1267</v>
      </c>
      <c r="Q755" s="223">
        <v>0</v>
      </c>
      <c r="R755" s="223">
        <v>0</v>
      </c>
      <c r="S755" s="223">
        <v>0</v>
      </c>
      <c r="T755" s="223">
        <v>0</v>
      </c>
      <c r="U755" s="223">
        <v>0</v>
      </c>
      <c r="V755" s="223">
        <v>0</v>
      </c>
      <c r="W755" s="223">
        <v>0</v>
      </c>
      <c r="X755" s="223">
        <v>0</v>
      </c>
      <c r="Y755" s="223">
        <v>0</v>
      </c>
      <c r="Z755" s="223">
        <v>0</v>
      </c>
      <c r="AA755" s="223">
        <v>0</v>
      </c>
      <c r="AB755" s="223">
        <v>0</v>
      </c>
      <c r="AC755" s="223">
        <v>0</v>
      </c>
      <c r="AD755" s="223">
        <v>0</v>
      </c>
      <c r="AE755" s="223">
        <v>0</v>
      </c>
      <c r="AF755" s="223">
        <v>0</v>
      </c>
      <c r="AG755" s="223">
        <v>0</v>
      </c>
      <c r="AH755" s="223">
        <v>0</v>
      </c>
      <c r="AI755" s="223">
        <v>0</v>
      </c>
      <c r="AJ755" s="223">
        <v>0</v>
      </c>
      <c r="AK755" s="223">
        <v>0</v>
      </c>
    </row>
    <row r="756" spans="6:37" s="223" customFormat="1" x14ac:dyDescent="0.25">
      <c r="G756" s="9" t="s">
        <v>324</v>
      </c>
      <c r="H756" s="9" t="s">
        <v>1267</v>
      </c>
      <c r="Q756" s="223">
        <v>0</v>
      </c>
      <c r="R756" s="223">
        <v>0</v>
      </c>
      <c r="S756" s="223">
        <v>0</v>
      </c>
      <c r="T756" s="223">
        <v>0</v>
      </c>
      <c r="U756" s="223">
        <v>0</v>
      </c>
      <c r="V756" s="223">
        <v>0</v>
      </c>
      <c r="W756" s="223">
        <v>0</v>
      </c>
      <c r="X756" s="223">
        <v>0</v>
      </c>
      <c r="Y756" s="223">
        <v>0</v>
      </c>
      <c r="Z756" s="223">
        <v>0</v>
      </c>
      <c r="AA756" s="223">
        <v>0</v>
      </c>
      <c r="AB756" s="223">
        <v>0</v>
      </c>
      <c r="AC756" s="223">
        <v>0</v>
      </c>
      <c r="AD756" s="223">
        <v>0</v>
      </c>
      <c r="AE756" s="223">
        <v>0</v>
      </c>
      <c r="AF756" s="223">
        <v>0</v>
      </c>
      <c r="AG756" s="223">
        <v>0</v>
      </c>
      <c r="AH756" s="223">
        <v>0</v>
      </c>
      <c r="AI756" s="223">
        <v>0</v>
      </c>
      <c r="AJ756" s="223">
        <v>0</v>
      </c>
      <c r="AK756" s="223">
        <v>0</v>
      </c>
    </row>
    <row r="757" spans="6:37" s="223" customFormat="1" x14ac:dyDescent="0.25">
      <c r="G757" s="9" t="s">
        <v>325</v>
      </c>
      <c r="H757" s="9" t="s">
        <v>1267</v>
      </c>
      <c r="Q757" s="223">
        <v>0</v>
      </c>
      <c r="R757" s="223">
        <v>0</v>
      </c>
      <c r="S757" s="223">
        <v>0</v>
      </c>
      <c r="T757" s="223">
        <v>0</v>
      </c>
      <c r="U757" s="223">
        <v>0</v>
      </c>
      <c r="V757" s="223">
        <v>0</v>
      </c>
      <c r="W757" s="223">
        <v>0</v>
      </c>
      <c r="X757" s="223">
        <v>0</v>
      </c>
      <c r="Y757" s="223">
        <v>0</v>
      </c>
      <c r="Z757" s="223">
        <v>0</v>
      </c>
      <c r="AA757" s="223">
        <v>0</v>
      </c>
      <c r="AB757" s="223">
        <v>0</v>
      </c>
      <c r="AC757" s="223">
        <v>0</v>
      </c>
      <c r="AD757" s="223">
        <v>0</v>
      </c>
      <c r="AE757" s="223">
        <v>0</v>
      </c>
      <c r="AF757" s="223">
        <v>0</v>
      </c>
      <c r="AG757" s="223">
        <v>0</v>
      </c>
      <c r="AH757" s="223">
        <v>0</v>
      </c>
      <c r="AI757" s="223">
        <v>0</v>
      </c>
      <c r="AJ757" s="223">
        <v>0</v>
      </c>
      <c r="AK757" s="223">
        <v>0</v>
      </c>
    </row>
    <row r="758" spans="6:37" x14ac:dyDescent="0.25">
      <c r="F758" t="s">
        <v>489</v>
      </c>
      <c r="H758" s="9"/>
    </row>
    <row r="759" spans="6:37" x14ac:dyDescent="0.25">
      <c r="G759" s="9" t="s">
        <v>314</v>
      </c>
      <c r="H759" s="9" t="s">
        <v>1267</v>
      </c>
      <c r="I759" s="59">
        <f>Datasheet!I968/31</f>
        <v>29.967741935483872</v>
      </c>
      <c r="J759" s="59">
        <f>Datasheet!J968/31</f>
        <v>13.838709677419354</v>
      </c>
      <c r="K759" s="59">
        <f>Datasheet!K968/31</f>
        <v>8.67741935483871</v>
      </c>
      <c r="L759" s="59">
        <f>Datasheet!L968/31</f>
        <v>12.451612903225806</v>
      </c>
      <c r="M759" s="59">
        <f>Datasheet!M968/31</f>
        <v>3.6774193548387095</v>
      </c>
      <c r="N759" s="59">
        <f>Datasheet!N968/31</f>
        <v>12.387096774193548</v>
      </c>
      <c r="O759" s="59">
        <f>Datasheet!O968/31</f>
        <v>13.516129032258064</v>
      </c>
      <c r="P759" s="59">
        <f>Datasheet!P968/31</f>
        <v>6.741935483870968</v>
      </c>
      <c r="Q759" s="59">
        <f>Datasheet!Q968/31</f>
        <v>13.03225806451613</v>
      </c>
      <c r="R759" s="59">
        <f>Datasheet!R968/31</f>
        <v>10.838709677419354</v>
      </c>
      <c r="S759" s="59">
        <f>Datasheet!S968/31</f>
        <v>14.225806451612904</v>
      </c>
      <c r="T759" s="59">
        <f>Datasheet!T968/31</f>
        <v>19.161290322580644</v>
      </c>
      <c r="U759" s="59">
        <f>Datasheet!U968/31</f>
        <v>10.451612903225806</v>
      </c>
      <c r="V759" s="59">
        <f>Datasheet!V968/31</f>
        <v>10.580645161290322</v>
      </c>
      <c r="W759" s="59">
        <f>Datasheet!W968/31</f>
        <v>0</v>
      </c>
      <c r="X759" s="59">
        <f>Datasheet!X968/31</f>
        <v>14.258064516129032</v>
      </c>
      <c r="Y759" s="59">
        <f>Datasheet!Y968/31</f>
        <v>17.161290322580644</v>
      </c>
      <c r="Z759" s="59">
        <f>Datasheet!Z968/31</f>
        <v>6.935483870967742</v>
      </c>
      <c r="AA759" s="59">
        <f>Datasheet!AA968/31</f>
        <v>0.19354838709677419</v>
      </c>
      <c r="AB759" s="59">
        <f>Datasheet!AB968/31</f>
        <v>0</v>
      </c>
      <c r="AC759" s="59">
        <f>Datasheet!AC968/31</f>
        <v>0</v>
      </c>
      <c r="AD759" s="59">
        <f>Datasheet!AD968/31</f>
        <v>0</v>
      </c>
      <c r="AE759" s="59">
        <f>Datasheet!AE968/31</f>
        <v>0</v>
      </c>
      <c r="AF759" s="59">
        <f>Datasheet!AF968/31</f>
        <v>0</v>
      </c>
      <c r="AG759" s="59">
        <f>Datasheet!AG968/31</f>
        <v>0</v>
      </c>
      <c r="AH759" s="59">
        <f>Datasheet!AH968/31</f>
        <v>0</v>
      </c>
      <c r="AI759" s="59">
        <f>Datasheet!AI968/31</f>
        <v>0</v>
      </c>
      <c r="AJ759" s="59">
        <f>Datasheet!AJ968/31</f>
        <v>0</v>
      </c>
      <c r="AK759" s="59">
        <f>Datasheet!AK968/31</f>
        <v>0</v>
      </c>
    </row>
    <row r="760" spans="6:37" x14ac:dyDescent="0.25">
      <c r="G760" s="9" t="s">
        <v>315</v>
      </c>
      <c r="H760" s="9" t="s">
        <v>1267</v>
      </c>
      <c r="I760" s="59">
        <f>Datasheet!I969/28</f>
        <v>45.571428571428569</v>
      </c>
      <c r="J760" s="59">
        <f>Datasheet!J969/28</f>
        <v>23.607142857142858</v>
      </c>
      <c r="K760" s="59">
        <f>Datasheet!K969/28</f>
        <v>11.321428571428571</v>
      </c>
      <c r="L760" s="59">
        <f>Datasheet!L969/28</f>
        <v>20.285714285714285</v>
      </c>
      <c r="M760" s="59">
        <f>Datasheet!M969/28</f>
        <v>23.142857142857142</v>
      </c>
      <c r="N760" s="59">
        <f>Datasheet!N969/28</f>
        <v>20.535714285714285</v>
      </c>
      <c r="O760" s="59">
        <f>Datasheet!O969/28</f>
        <v>15</v>
      </c>
      <c r="P760" s="59">
        <f>Datasheet!P969/28</f>
        <v>13.428571428571429</v>
      </c>
      <c r="Q760" s="59">
        <f>Datasheet!Q969/28</f>
        <v>14.678571428571429</v>
      </c>
      <c r="R760" s="59">
        <f>Datasheet!R969/28</f>
        <v>6.25</v>
      </c>
      <c r="S760" s="59">
        <f>Datasheet!S969/28</f>
        <v>12.321428571428571</v>
      </c>
      <c r="T760" s="59">
        <f>Datasheet!T969/28</f>
        <v>17.785714285714285</v>
      </c>
      <c r="U760" s="59">
        <f>Datasheet!U969/28</f>
        <v>8.7857142857142865</v>
      </c>
      <c r="V760" s="59">
        <f>Datasheet!V969/28</f>
        <v>10.142857142857142</v>
      </c>
      <c r="W760" s="59">
        <f>Datasheet!W969/28</f>
        <v>5.1785714285714288</v>
      </c>
      <c r="X760" s="59">
        <f>Datasheet!X969/28</f>
        <v>11.785714285714286</v>
      </c>
      <c r="Y760" s="59">
        <f>Datasheet!Y969/28</f>
        <v>11.392857142857142</v>
      </c>
      <c r="Z760" s="59">
        <f>Datasheet!Z969/28</f>
        <v>11.75</v>
      </c>
      <c r="AA760" s="59">
        <f>Datasheet!AA969/28</f>
        <v>3.5357142857142856</v>
      </c>
      <c r="AB760" s="59">
        <f>Datasheet!AB969/28</f>
        <v>0</v>
      </c>
      <c r="AC760" s="59">
        <f>Datasheet!AC969/28</f>
        <v>0</v>
      </c>
      <c r="AD760" s="59">
        <f>Datasheet!AD969/28</f>
        <v>0</v>
      </c>
      <c r="AE760" s="59">
        <f>Datasheet!AE969/28</f>
        <v>0</v>
      </c>
      <c r="AF760" s="59">
        <f>Datasheet!AF969/28</f>
        <v>0</v>
      </c>
      <c r="AG760" s="59">
        <f>Datasheet!AG969/28</f>
        <v>0</v>
      </c>
      <c r="AH760" s="59">
        <f>Datasheet!AH969/28</f>
        <v>0</v>
      </c>
      <c r="AI760" s="59">
        <f>Datasheet!AI969/28</f>
        <v>0</v>
      </c>
      <c r="AJ760" s="59">
        <f>Datasheet!AJ969/28</f>
        <v>0</v>
      </c>
      <c r="AK760" s="59">
        <f>Datasheet!AK969/28</f>
        <v>0</v>
      </c>
    </row>
    <row r="761" spans="6:37" x14ac:dyDescent="0.25">
      <c r="G761" s="9" t="s">
        <v>316</v>
      </c>
      <c r="H761" s="9" t="s">
        <v>1267</v>
      </c>
      <c r="I761" s="59">
        <f>Datasheet!I970/31</f>
        <v>45.161290322580648</v>
      </c>
      <c r="J761" s="59">
        <f>Datasheet!J970/31</f>
        <v>17.193548387096776</v>
      </c>
      <c r="K761" s="59">
        <f>Datasheet!K970/31</f>
        <v>3.096774193548387</v>
      </c>
      <c r="L761" s="59">
        <f>Datasheet!L970/31</f>
        <v>10</v>
      </c>
      <c r="M761" s="59">
        <f>Datasheet!M970/31</f>
        <v>9.741935483870968</v>
      </c>
      <c r="N761" s="59">
        <f>Datasheet!N970/31</f>
        <v>9.193548387096774</v>
      </c>
      <c r="O761" s="59">
        <f>Datasheet!O970/31</f>
        <v>9.387096774193548</v>
      </c>
      <c r="P761" s="59">
        <f>Datasheet!P970/31</f>
        <v>14.870967741935484</v>
      </c>
      <c r="Q761" s="59">
        <f>Datasheet!Q970/31</f>
        <v>10.258064516129032</v>
      </c>
      <c r="R761" s="59">
        <f>Datasheet!R970/31</f>
        <v>4.4838709677419351</v>
      </c>
      <c r="S761" s="59">
        <f>Datasheet!S970/31</f>
        <v>5.870967741935484</v>
      </c>
      <c r="T761" s="59">
        <f>Datasheet!T970/31</f>
        <v>6.838709677419355</v>
      </c>
      <c r="U761" s="59">
        <f>Datasheet!U970/31</f>
        <v>6.4516129032258061</v>
      </c>
      <c r="V761" s="59">
        <f>Datasheet!V970/31</f>
        <v>10.258064516129032</v>
      </c>
      <c r="W761" s="59">
        <f>Datasheet!W970/31</f>
        <v>4.387096774193548</v>
      </c>
      <c r="X761" s="59">
        <f>Datasheet!X970/31</f>
        <v>4.967741935483871</v>
      </c>
      <c r="Y761" s="59">
        <f>Datasheet!Y970/31</f>
        <v>10</v>
      </c>
      <c r="Z761" s="59">
        <f>Datasheet!Z970/31</f>
        <v>1.2580645161290323</v>
      </c>
      <c r="AA761" s="59">
        <f>Datasheet!AA970/31</f>
        <v>3.967741935483871</v>
      </c>
      <c r="AB761" s="59">
        <f>Datasheet!AB970/31</f>
        <v>0</v>
      </c>
      <c r="AC761" s="59">
        <f>Datasheet!AC970/31</f>
        <v>0</v>
      </c>
      <c r="AD761" s="59">
        <f>Datasheet!AD970/31</f>
        <v>0</v>
      </c>
      <c r="AE761" s="59">
        <f>Datasheet!AE970/31</f>
        <v>0</v>
      </c>
      <c r="AF761" s="59">
        <f>Datasheet!AF970/31</f>
        <v>0</v>
      </c>
      <c r="AG761" s="59">
        <f>Datasheet!AG970/31</f>
        <v>0</v>
      </c>
      <c r="AH761" s="59">
        <f>Datasheet!AH970/31</f>
        <v>0</v>
      </c>
      <c r="AI761" s="59">
        <f>Datasheet!AI970/31</f>
        <v>0</v>
      </c>
      <c r="AJ761" s="59">
        <f>Datasheet!AJ970/31</f>
        <v>0</v>
      </c>
      <c r="AK761" s="59">
        <f>Datasheet!AK970/31</f>
        <v>0</v>
      </c>
    </row>
    <row r="762" spans="6:37" s="223" customFormat="1" x14ac:dyDescent="0.25">
      <c r="G762" s="9" t="s">
        <v>317</v>
      </c>
      <c r="H762" s="9" t="s">
        <v>1267</v>
      </c>
      <c r="I762" s="59">
        <f>Datasheet!I971/30</f>
        <v>5.4666666666666668</v>
      </c>
      <c r="J762" s="59">
        <f>Datasheet!J971/30</f>
        <v>7.2666666666666666</v>
      </c>
      <c r="K762" s="59">
        <f>Datasheet!K971/30</f>
        <v>6.5</v>
      </c>
      <c r="L762" s="59">
        <f>Datasheet!L971/30</f>
        <v>2.2333333333333334</v>
      </c>
      <c r="M762" s="59">
        <f>Datasheet!M971/30</f>
        <v>5.5</v>
      </c>
      <c r="N762" s="59">
        <f>Datasheet!N971/30</f>
        <v>5.9333333333333336</v>
      </c>
      <c r="O762" s="59">
        <f>Datasheet!O971/30</f>
        <v>6.833333333333333</v>
      </c>
      <c r="P762" s="59">
        <f>Datasheet!P971/30</f>
        <v>0</v>
      </c>
      <c r="Q762" s="59">
        <f>Datasheet!Q971/30</f>
        <v>4.7666666666666666</v>
      </c>
      <c r="R762" s="59">
        <f>Datasheet!R971/30</f>
        <v>6.5333333333333332</v>
      </c>
      <c r="S762" s="59">
        <f>Datasheet!S971/30</f>
        <v>7.333333333333333</v>
      </c>
      <c r="T762" s="59">
        <f>Datasheet!T971/30</f>
        <v>8.9666666666666668</v>
      </c>
      <c r="U762" s="59">
        <f>Datasheet!U971/30</f>
        <v>8.3000000000000007</v>
      </c>
      <c r="V762" s="59">
        <f>Datasheet!V971/30</f>
        <v>10.533333333333333</v>
      </c>
      <c r="W762" s="59">
        <f>Datasheet!W971/30</f>
        <v>2.9666666666666668</v>
      </c>
      <c r="X762" s="59">
        <f>Datasheet!X971/30</f>
        <v>5.1333333333333337</v>
      </c>
      <c r="Y762" s="59">
        <f>Datasheet!Y971/30</f>
        <v>10.4</v>
      </c>
      <c r="Z762" s="59">
        <f>Datasheet!Z971/30</f>
        <v>3.3666666666666667</v>
      </c>
      <c r="AA762" s="59">
        <f>Datasheet!AA971/30</f>
        <v>0</v>
      </c>
      <c r="AB762" s="59">
        <f>Datasheet!AB971/30</f>
        <v>0</v>
      </c>
      <c r="AC762" s="59">
        <f>Datasheet!AC971/30</f>
        <v>0</v>
      </c>
      <c r="AD762" s="59">
        <f>Datasheet!AD971/30</f>
        <v>0</v>
      </c>
      <c r="AE762" s="59">
        <f>Datasheet!AE971/30</f>
        <v>0</v>
      </c>
      <c r="AF762" s="59">
        <f>Datasheet!AF971/30</f>
        <v>0</v>
      </c>
      <c r="AG762" s="59">
        <f>Datasheet!AG971/30</f>
        <v>0</v>
      </c>
      <c r="AH762" s="59">
        <f>Datasheet!AH971/30</f>
        <v>0</v>
      </c>
      <c r="AI762" s="59">
        <f>Datasheet!AI971/30</f>
        <v>0</v>
      </c>
      <c r="AJ762" s="59">
        <f>Datasheet!AJ971/30</f>
        <v>0</v>
      </c>
      <c r="AK762" s="59">
        <f>Datasheet!AK971/30</f>
        <v>0</v>
      </c>
    </row>
    <row r="763" spans="6:37" s="223" customFormat="1" x14ac:dyDescent="0.25">
      <c r="G763" s="9" t="s">
        <v>318</v>
      </c>
      <c r="H763" s="9" t="s">
        <v>1267</v>
      </c>
      <c r="I763" s="59">
        <f>Datasheet!I972/31</f>
        <v>489.58064516129031</v>
      </c>
      <c r="J763" s="59">
        <f>Datasheet!J972/31</f>
        <v>472.74193548387098</v>
      </c>
      <c r="K763" s="59">
        <f>Datasheet!K972/31</f>
        <v>334.19354838709677</v>
      </c>
      <c r="L763" s="59">
        <f>Datasheet!L972/31</f>
        <v>278.45161290322579</v>
      </c>
      <c r="M763" s="59">
        <f>Datasheet!M972/31</f>
        <v>628.12903225806451</v>
      </c>
      <c r="N763" s="59">
        <f>Datasheet!N972/31</f>
        <v>858.25806451612902</v>
      </c>
      <c r="O763" s="59">
        <f>Datasheet!O972/31</f>
        <v>856.87096774193549</v>
      </c>
      <c r="P763" s="59">
        <f>Datasheet!P972/31</f>
        <v>1142.1612903225807</v>
      </c>
      <c r="Q763" s="59">
        <f>Datasheet!Q972/31</f>
        <v>418.70967741935482</v>
      </c>
      <c r="R763" s="59">
        <f>Datasheet!R972/31</f>
        <v>412.64516129032256</v>
      </c>
      <c r="S763" s="59">
        <f>Datasheet!S972/31</f>
        <v>621.0322580645161</v>
      </c>
      <c r="T763" s="59">
        <f>Datasheet!T972/31</f>
        <v>618.48387096774195</v>
      </c>
      <c r="U763" s="59">
        <f>Datasheet!U972/31</f>
        <v>1221.258064516129</v>
      </c>
      <c r="V763" s="59">
        <f>Datasheet!V972/31</f>
        <v>785.54838709677415</v>
      </c>
      <c r="W763" s="59">
        <f>Datasheet!W972/31</f>
        <v>1058.9677419354839</v>
      </c>
      <c r="X763" s="59">
        <f>Datasheet!X972/31</f>
        <v>966.41935483870964</v>
      </c>
      <c r="Y763" s="59">
        <f>Datasheet!Y972/31</f>
        <v>1081.0322580645161</v>
      </c>
      <c r="Z763" s="59">
        <f>Datasheet!Z972/31</f>
        <v>1061.516129032258</v>
      </c>
      <c r="AA763" s="59">
        <f>Datasheet!AA972/31</f>
        <v>37.58064516129032</v>
      </c>
      <c r="AB763" s="59">
        <f>Datasheet!AB972/31</f>
        <v>0</v>
      </c>
      <c r="AC763" s="59">
        <f>Datasheet!AC972/31</f>
        <v>0</v>
      </c>
      <c r="AD763" s="59">
        <f>Datasheet!AD972/31</f>
        <v>0</v>
      </c>
      <c r="AE763" s="59">
        <f>Datasheet!AE972/31</f>
        <v>0</v>
      </c>
      <c r="AF763" s="59">
        <f>Datasheet!AF972/31</f>
        <v>0</v>
      </c>
      <c r="AG763" s="59">
        <f>Datasheet!AG972/31</f>
        <v>0</v>
      </c>
      <c r="AH763" s="59">
        <f>Datasheet!AH972/31</f>
        <v>0</v>
      </c>
      <c r="AI763" s="59">
        <f>Datasheet!AI972/31</f>
        <v>0</v>
      </c>
      <c r="AJ763" s="59">
        <f>Datasheet!AJ972/31</f>
        <v>0</v>
      </c>
      <c r="AK763" s="59">
        <f>Datasheet!AK972/31</f>
        <v>0</v>
      </c>
    </row>
    <row r="764" spans="6:37" s="223" customFormat="1" x14ac:dyDescent="0.25">
      <c r="G764" s="9" t="s">
        <v>319</v>
      </c>
      <c r="H764" s="9" t="s">
        <v>1267</v>
      </c>
      <c r="I764" s="59">
        <f>Datasheet!I973/30</f>
        <v>3668.7333333333331</v>
      </c>
      <c r="J764" s="59">
        <f>Datasheet!J973/30</f>
        <v>3482.4666666666667</v>
      </c>
      <c r="K764" s="59">
        <f>Datasheet!K973/30</f>
        <v>3304.8333333333335</v>
      </c>
      <c r="L764" s="59">
        <f>Datasheet!L973/30</f>
        <v>3328.0666666666666</v>
      </c>
      <c r="M764" s="59">
        <f>Datasheet!M973/30</f>
        <v>3293.0333333333333</v>
      </c>
      <c r="N764" s="59">
        <f>Datasheet!N973/30</f>
        <v>3968.9666666666667</v>
      </c>
      <c r="O764" s="59">
        <f>Datasheet!O973/30</f>
        <v>3651</v>
      </c>
      <c r="P764" s="59">
        <f>Datasheet!P973/30</f>
        <v>3092.3666666666668</v>
      </c>
      <c r="Q764" s="59">
        <f>Datasheet!Q973/30</f>
        <v>3328</v>
      </c>
      <c r="R764" s="59">
        <f>Datasheet!R973/30</f>
        <v>2800.5666666666666</v>
      </c>
      <c r="S764" s="59">
        <f>Datasheet!S973/30</f>
        <v>3186.7</v>
      </c>
      <c r="T764" s="59">
        <f>Datasheet!T973/30</f>
        <v>3496.5666666666666</v>
      </c>
      <c r="U764" s="59">
        <f>Datasheet!U973/30</f>
        <v>3629.0333333333333</v>
      </c>
      <c r="V764" s="59">
        <f>Datasheet!V973/30</f>
        <v>4435.1000000000004</v>
      </c>
      <c r="W764" s="59">
        <f>Datasheet!W973/30</f>
        <v>4495.2333333333336</v>
      </c>
      <c r="X764" s="59">
        <f>Datasheet!X973/30</f>
        <v>4591.166666666667</v>
      </c>
      <c r="Y764" s="59">
        <f>Datasheet!Y973/30</f>
        <v>2952.1333333333332</v>
      </c>
      <c r="Z764" s="59">
        <f>Datasheet!Z973/30</f>
        <v>3829.2333333333331</v>
      </c>
      <c r="AA764" s="59">
        <f>Datasheet!AA973/30</f>
        <v>1710.8333333333333</v>
      </c>
      <c r="AB764" s="59">
        <f>Datasheet!AB973/30</f>
        <v>0</v>
      </c>
      <c r="AC764" s="59">
        <f>Datasheet!AC973/30</f>
        <v>0</v>
      </c>
      <c r="AD764" s="59">
        <f>Datasheet!AD973/30</f>
        <v>0</v>
      </c>
      <c r="AE764" s="59">
        <f>Datasheet!AE973/30</f>
        <v>0</v>
      </c>
      <c r="AF764" s="59">
        <f>Datasheet!AF973/30</f>
        <v>0</v>
      </c>
      <c r="AG764" s="59">
        <f>Datasheet!AG973/30</f>
        <v>0</v>
      </c>
      <c r="AH764" s="59">
        <f>Datasheet!AH973/30</f>
        <v>0</v>
      </c>
      <c r="AI764" s="59">
        <f>Datasheet!AI973/30</f>
        <v>0</v>
      </c>
      <c r="AJ764" s="59">
        <f>Datasheet!AJ973/30</f>
        <v>0</v>
      </c>
      <c r="AK764" s="59">
        <f>Datasheet!AK973/30</f>
        <v>0</v>
      </c>
    </row>
    <row r="765" spans="6:37" s="223" customFormat="1" x14ac:dyDescent="0.25">
      <c r="G765" s="9" t="s">
        <v>320</v>
      </c>
      <c r="H765" s="9" t="s">
        <v>1267</v>
      </c>
      <c r="I765" s="59">
        <f>Datasheet!I974/31</f>
        <v>5367.1935483870966</v>
      </c>
      <c r="J765" s="59">
        <f>Datasheet!J974/31</f>
        <v>4984.1935483870966</v>
      </c>
      <c r="K765" s="59">
        <f>Datasheet!K974/31</f>
        <v>4933</v>
      </c>
      <c r="L765" s="59">
        <f>Datasheet!L974/31</f>
        <v>5072.1290322580644</v>
      </c>
      <c r="M765" s="59">
        <f>Datasheet!M974/31</f>
        <v>6242.3870967741932</v>
      </c>
      <c r="N765" s="59">
        <f>Datasheet!N974/31</f>
        <v>5943.2903225806449</v>
      </c>
      <c r="O765" s="59">
        <f>Datasheet!O974/31</f>
        <v>5604.322580645161</v>
      </c>
      <c r="P765" s="59">
        <f>Datasheet!P974/31</f>
        <v>5498.3870967741932</v>
      </c>
      <c r="Q765" s="59">
        <f>Datasheet!Q974/31</f>
        <v>5471.8064516129034</v>
      </c>
      <c r="R765" s="59">
        <f>Datasheet!R974/31</f>
        <v>4912.3548387096771</v>
      </c>
      <c r="S765" s="59">
        <f>Datasheet!S974/31</f>
        <v>5510.8064516129034</v>
      </c>
      <c r="T765" s="59">
        <f>Datasheet!T974/31</f>
        <v>5380.1290322580644</v>
      </c>
      <c r="U765" s="59">
        <f>Datasheet!U974/31</f>
        <v>5314.4516129032254</v>
      </c>
      <c r="V765" s="59">
        <f>Datasheet!V974/31</f>
        <v>5490.2903225806449</v>
      </c>
      <c r="W765" s="59">
        <f>Datasheet!W974/31</f>
        <v>5724.7741935483873</v>
      </c>
      <c r="X765" s="59">
        <f>Datasheet!X974/31</f>
        <v>5893.0967741935483</v>
      </c>
      <c r="Y765" s="59">
        <f>Datasheet!Y974/31</f>
        <v>3984.6451612903224</v>
      </c>
      <c r="Z765" s="59">
        <f>Datasheet!Z974/31</f>
        <v>5018.5806451612907</v>
      </c>
      <c r="AA765" s="59">
        <f>Datasheet!AA974/31</f>
        <v>3962.1935483870966</v>
      </c>
      <c r="AB765" s="59">
        <f>Datasheet!AB974/31</f>
        <v>0</v>
      </c>
      <c r="AC765" s="59">
        <f>Datasheet!AC974/31</f>
        <v>0</v>
      </c>
      <c r="AD765" s="59">
        <f>Datasheet!AD974/31</f>
        <v>0</v>
      </c>
      <c r="AE765" s="59">
        <f>Datasheet!AE974/31</f>
        <v>0</v>
      </c>
      <c r="AF765" s="59">
        <f>Datasheet!AF974/31</f>
        <v>0</v>
      </c>
      <c r="AG765" s="59">
        <f>Datasheet!AG974/31</f>
        <v>0</v>
      </c>
      <c r="AH765" s="59">
        <f>Datasheet!AH974/31</f>
        <v>0</v>
      </c>
      <c r="AI765" s="59">
        <f>Datasheet!AI974/31</f>
        <v>0</v>
      </c>
      <c r="AJ765" s="59">
        <f>Datasheet!AJ974/31</f>
        <v>0</v>
      </c>
      <c r="AK765" s="59">
        <f>Datasheet!AK974/31</f>
        <v>0</v>
      </c>
    </row>
    <row r="766" spans="6:37" s="223" customFormat="1" x14ac:dyDescent="0.25">
      <c r="G766" s="9" t="s">
        <v>321</v>
      </c>
      <c r="H766" s="9" t="s">
        <v>1267</v>
      </c>
      <c r="I766" s="59">
        <f>Datasheet!I975/31</f>
        <v>4758.8709677419356</v>
      </c>
      <c r="J766" s="59">
        <f>Datasheet!J975/31</f>
        <v>4769.1612903225805</v>
      </c>
      <c r="K766" s="59">
        <f>Datasheet!K975/31</f>
        <v>4344.5806451612907</v>
      </c>
      <c r="L766" s="59">
        <f>Datasheet!L975/31</f>
        <v>4324.7096774193551</v>
      </c>
      <c r="M766" s="59">
        <f>Datasheet!M975/31</f>
        <v>4857.9354838709678</v>
      </c>
      <c r="N766" s="59">
        <f>Datasheet!N975/31</f>
        <v>5163.0645161290322</v>
      </c>
      <c r="O766" s="59">
        <f>Datasheet!O975/31</f>
        <v>4987.1935483870966</v>
      </c>
      <c r="P766" s="59">
        <f>Datasheet!P975/31</f>
        <v>4996.9677419354839</v>
      </c>
      <c r="Q766" s="59">
        <f>Datasheet!Q975/31</f>
        <v>4685.5161290322585</v>
      </c>
      <c r="R766" s="59">
        <f>Datasheet!R975/31</f>
        <v>4468.1935483870966</v>
      </c>
      <c r="S766" s="59">
        <f>Datasheet!S975/31</f>
        <v>4678</v>
      </c>
      <c r="T766" s="59">
        <f>Datasheet!T975/31</f>
        <v>4729.3870967741932</v>
      </c>
      <c r="U766" s="59">
        <f>Datasheet!U975/31</f>
        <v>4577.6451612903229</v>
      </c>
      <c r="V766" s="59">
        <f>Datasheet!V975/31</f>
        <v>4793.1935483870966</v>
      </c>
      <c r="W766" s="59">
        <f>Datasheet!W975/31</f>
        <v>5093</v>
      </c>
      <c r="X766" s="59">
        <f>Datasheet!X975/31</f>
        <v>5697.8387096774195</v>
      </c>
      <c r="Y766" s="59">
        <f>Datasheet!Y975/31</f>
        <v>3665.7096774193546</v>
      </c>
      <c r="Z766" s="59">
        <f>Datasheet!Z975/31</f>
        <v>4716.8709677419356</v>
      </c>
      <c r="AA766" s="59">
        <f>Datasheet!AA975/31</f>
        <v>3929.4193548387098</v>
      </c>
      <c r="AB766" s="59">
        <f>Datasheet!AB975/31</f>
        <v>0</v>
      </c>
      <c r="AC766" s="59">
        <f>Datasheet!AC975/31</f>
        <v>0</v>
      </c>
      <c r="AD766" s="59">
        <f>Datasheet!AD975/31</f>
        <v>0</v>
      </c>
      <c r="AE766" s="59">
        <f>Datasheet!AE975/31</f>
        <v>0</v>
      </c>
      <c r="AF766" s="59">
        <f>Datasheet!AF975/31</f>
        <v>0</v>
      </c>
      <c r="AG766" s="59">
        <f>Datasheet!AG975/31</f>
        <v>0</v>
      </c>
      <c r="AH766" s="59">
        <f>Datasheet!AH975/31</f>
        <v>0</v>
      </c>
      <c r="AI766" s="59">
        <f>Datasheet!AI975/31</f>
        <v>0</v>
      </c>
      <c r="AJ766" s="59">
        <f>Datasheet!AJ975/31</f>
        <v>0</v>
      </c>
      <c r="AK766" s="59">
        <f>Datasheet!AK975/31</f>
        <v>0</v>
      </c>
    </row>
    <row r="767" spans="6:37" s="223" customFormat="1" x14ac:dyDescent="0.25">
      <c r="G767" s="9" t="s">
        <v>322</v>
      </c>
      <c r="H767" s="9" t="s">
        <v>1267</v>
      </c>
      <c r="I767" s="59">
        <f>Datasheet!I976/30</f>
        <v>2957.1333333333332</v>
      </c>
      <c r="J767" s="59">
        <f>Datasheet!J976/30</f>
        <v>2700.9333333333334</v>
      </c>
      <c r="K767" s="59">
        <f>Datasheet!K976/30</f>
        <v>2543.4666666666667</v>
      </c>
      <c r="L767" s="59">
        <f>Datasheet!L976/30</f>
        <v>2530.1</v>
      </c>
      <c r="M767" s="59">
        <f>Datasheet!M976/30</f>
        <v>2724.7</v>
      </c>
      <c r="N767" s="59">
        <f>Datasheet!N976/30</f>
        <v>2915.6666666666665</v>
      </c>
      <c r="O767" s="59">
        <f>Datasheet!O976/30</f>
        <v>2558.7333333333331</v>
      </c>
      <c r="P767" s="59">
        <f>Datasheet!P976/30</f>
        <v>3109.4666666666667</v>
      </c>
      <c r="Q767" s="59">
        <f>Datasheet!Q976/30</f>
        <v>2694.3333333333335</v>
      </c>
      <c r="R767" s="59">
        <f>Datasheet!R976/30</f>
        <v>2850.3333333333335</v>
      </c>
      <c r="S767" s="59">
        <f>Datasheet!S976/30</f>
        <v>1933.7</v>
      </c>
      <c r="T767" s="59">
        <f>Datasheet!T976/30</f>
        <v>2869.0333333333333</v>
      </c>
      <c r="U767" s="59">
        <f>Datasheet!U976/30</f>
        <v>2913.4</v>
      </c>
      <c r="V767" s="59">
        <f>Datasheet!V976/30</f>
        <v>4766.333333333333</v>
      </c>
      <c r="W767" s="59">
        <f>Datasheet!W976/30</f>
        <v>553.4</v>
      </c>
      <c r="X767" s="59">
        <f>Datasheet!X976/30</f>
        <v>3462.0666666666666</v>
      </c>
      <c r="Y767" s="59">
        <f>Datasheet!Y976/30</f>
        <v>2628.6666666666665</v>
      </c>
      <c r="Z767" s="59">
        <f>Datasheet!Z976/30</f>
        <v>3464.7</v>
      </c>
      <c r="AA767" s="59">
        <f>Datasheet!AA976/30</f>
        <v>3209.2333333333331</v>
      </c>
      <c r="AB767" s="59">
        <f>Datasheet!AB976/30</f>
        <v>0</v>
      </c>
      <c r="AC767" s="59">
        <f>Datasheet!AC976/30</f>
        <v>0</v>
      </c>
      <c r="AD767" s="59">
        <f>Datasheet!AD976/30</f>
        <v>0</v>
      </c>
      <c r="AE767" s="59">
        <f>Datasheet!AE976/30</f>
        <v>0</v>
      </c>
      <c r="AF767" s="59">
        <f>Datasheet!AF976/30</f>
        <v>0</v>
      </c>
      <c r="AG767" s="59">
        <f>Datasheet!AG976/30</f>
        <v>0</v>
      </c>
      <c r="AH767" s="59">
        <f>Datasheet!AH976/30</f>
        <v>0</v>
      </c>
      <c r="AI767" s="59">
        <f>Datasheet!AI976/30</f>
        <v>0</v>
      </c>
      <c r="AJ767" s="59">
        <f>Datasheet!AJ976/30</f>
        <v>0</v>
      </c>
      <c r="AK767" s="59">
        <f>Datasheet!AK976/30</f>
        <v>0</v>
      </c>
    </row>
    <row r="768" spans="6:37" s="223" customFormat="1" x14ac:dyDescent="0.25">
      <c r="G768" s="9" t="s">
        <v>323</v>
      </c>
      <c r="H768" s="9" t="s">
        <v>1267</v>
      </c>
      <c r="I768" s="59">
        <f>Datasheet!I977/31</f>
        <v>311.12903225806451</v>
      </c>
      <c r="J768" s="59">
        <f>Datasheet!J977/31</f>
        <v>302.51612903225805</v>
      </c>
      <c r="K768" s="59">
        <f>Datasheet!K977/31</f>
        <v>464.90322580645159</v>
      </c>
      <c r="L768" s="59">
        <f>Datasheet!L977/31</f>
        <v>158.25806451612902</v>
      </c>
      <c r="M768" s="59">
        <f>Datasheet!M977/31</f>
        <v>167.61290322580646</v>
      </c>
      <c r="N768" s="59">
        <f>Datasheet!N977/31</f>
        <v>237.96774193548387</v>
      </c>
      <c r="O768" s="59">
        <f>Datasheet!O977/31</f>
        <v>343.25806451612902</v>
      </c>
      <c r="P768" s="59">
        <f>Datasheet!P977/31</f>
        <v>132.16129032258064</v>
      </c>
      <c r="Q768" s="59">
        <f>Datasheet!Q977/31</f>
        <v>244.87096774193549</v>
      </c>
      <c r="R768" s="59">
        <f>Datasheet!R977/31</f>
        <v>301.58064516129031</v>
      </c>
      <c r="S768" s="59">
        <f>Datasheet!S977/31</f>
        <v>173.29032258064515</v>
      </c>
      <c r="T768" s="59">
        <f>Datasheet!T977/31</f>
        <v>9.9032258064516121</v>
      </c>
      <c r="U768" s="59">
        <f>Datasheet!U977/31</f>
        <v>253.67741935483872</v>
      </c>
      <c r="V768" s="59">
        <f>Datasheet!V977/31</f>
        <v>348.41935483870969</v>
      </c>
      <c r="W768" s="59">
        <f>Datasheet!W977/31</f>
        <v>341.41935483870969</v>
      </c>
      <c r="X768" s="59">
        <f>Datasheet!X977/31</f>
        <v>306.87096774193549</v>
      </c>
      <c r="Y768" s="59">
        <f>Datasheet!Y977/31</f>
        <v>215.29032258064515</v>
      </c>
      <c r="Z768" s="59">
        <f>Datasheet!Z977/31</f>
        <v>292.06451612903226</v>
      </c>
      <c r="AA768" s="59">
        <f>Datasheet!AA977/31</f>
        <v>481.29032258064518</v>
      </c>
      <c r="AB768" s="59">
        <f>Datasheet!AB977/31</f>
        <v>0</v>
      </c>
      <c r="AC768" s="59">
        <f>Datasheet!AC977/31</f>
        <v>0</v>
      </c>
      <c r="AD768" s="59">
        <f>Datasheet!AD977/31</f>
        <v>0</v>
      </c>
      <c r="AE768" s="59">
        <f>Datasheet!AE977/31</f>
        <v>0</v>
      </c>
      <c r="AF768" s="59">
        <f>Datasheet!AF977/31</f>
        <v>0</v>
      </c>
      <c r="AG768" s="59">
        <f>Datasheet!AG977/31</f>
        <v>0</v>
      </c>
      <c r="AH768" s="59">
        <f>Datasheet!AH977/31</f>
        <v>0</v>
      </c>
      <c r="AI768" s="59">
        <f>Datasheet!AI977/31</f>
        <v>0</v>
      </c>
      <c r="AJ768" s="59">
        <f>Datasheet!AJ977/31</f>
        <v>0</v>
      </c>
      <c r="AK768" s="59">
        <f>Datasheet!AK977/31</f>
        <v>0</v>
      </c>
    </row>
    <row r="769" spans="6:37" s="223" customFormat="1" x14ac:dyDescent="0.25">
      <c r="G769" s="9" t="s">
        <v>324</v>
      </c>
      <c r="H769" s="9" t="s">
        <v>1267</v>
      </c>
      <c r="I769" s="59">
        <f>Datasheet!I978/30</f>
        <v>114.16666666666667</v>
      </c>
      <c r="J769" s="59">
        <f>Datasheet!J978/30</f>
        <v>367.3</v>
      </c>
      <c r="K769" s="59">
        <f>Datasheet!K978/30</f>
        <v>98.233333333333334</v>
      </c>
      <c r="L769" s="59">
        <f>Datasheet!L978/30</f>
        <v>3.3</v>
      </c>
      <c r="M769" s="59">
        <f>Datasheet!M978/30</f>
        <v>84.933333333333337</v>
      </c>
      <c r="N769" s="59">
        <f>Datasheet!N978/30</f>
        <v>4.9000000000000004</v>
      </c>
      <c r="O769" s="59">
        <f>Datasheet!O978/30</f>
        <v>11.2</v>
      </c>
      <c r="P769" s="59">
        <f>Datasheet!P978/30</f>
        <v>6.5333333333333332</v>
      </c>
      <c r="Q769" s="59">
        <f>Datasheet!Q978/30</f>
        <v>4.9000000000000004</v>
      </c>
      <c r="R769" s="59">
        <f>Datasheet!R978/30</f>
        <v>1.0666666666666667</v>
      </c>
      <c r="S769" s="59">
        <f>Datasheet!S978/30</f>
        <v>4.4000000000000004</v>
      </c>
      <c r="T769" s="59">
        <f>Datasheet!T978/30</f>
        <v>6.8</v>
      </c>
      <c r="U769" s="59">
        <f>Datasheet!U978/30</f>
        <v>5.4666666666666668</v>
      </c>
      <c r="V769" s="59">
        <f>Datasheet!V978/30</f>
        <v>0</v>
      </c>
      <c r="W769" s="59">
        <f>Datasheet!W978/30</f>
        <v>2.2000000000000002</v>
      </c>
      <c r="X769" s="59">
        <f>Datasheet!X978/30</f>
        <v>0</v>
      </c>
      <c r="Y769" s="59">
        <f>Datasheet!Y978/30</f>
        <v>1.1000000000000001</v>
      </c>
      <c r="Z769" s="59">
        <f>Datasheet!Z978/30</f>
        <v>0.76666666666666672</v>
      </c>
      <c r="AA769" s="59">
        <f>Datasheet!AA978/30</f>
        <v>0.9</v>
      </c>
      <c r="AB769" s="59">
        <f>Datasheet!AB978/30</f>
        <v>0</v>
      </c>
      <c r="AC769" s="59">
        <f>Datasheet!AC978/30</f>
        <v>0</v>
      </c>
      <c r="AD769" s="59">
        <f>Datasheet!AD978/30</f>
        <v>0</v>
      </c>
      <c r="AE769" s="59">
        <f>Datasheet!AE978/30</f>
        <v>0</v>
      </c>
      <c r="AF769" s="59">
        <f>Datasheet!AF978/30</f>
        <v>0</v>
      </c>
      <c r="AG769" s="59">
        <f>Datasheet!AG978/30</f>
        <v>0</v>
      </c>
      <c r="AH769" s="59">
        <f>Datasheet!AH978/30</f>
        <v>0</v>
      </c>
      <c r="AI769" s="59">
        <f>Datasheet!AI978/30</f>
        <v>0</v>
      </c>
      <c r="AJ769" s="59">
        <f>Datasheet!AJ978/30</f>
        <v>0</v>
      </c>
      <c r="AK769" s="59">
        <f>Datasheet!AK978/30</f>
        <v>0</v>
      </c>
    </row>
    <row r="770" spans="6:37" s="223" customFormat="1" x14ac:dyDescent="0.25">
      <c r="G770" s="9" t="s">
        <v>325</v>
      </c>
      <c r="H770" s="9" t="s">
        <v>1267</v>
      </c>
      <c r="I770" s="59">
        <f>Datasheet!I979/31</f>
        <v>14.96774193548387</v>
      </c>
      <c r="J770" s="59">
        <f>Datasheet!J979/31</f>
        <v>15.193548387096774</v>
      </c>
      <c r="K770" s="59">
        <f>Datasheet!K979/31</f>
        <v>4.354838709677419</v>
      </c>
      <c r="L770" s="59">
        <f>Datasheet!L979/31</f>
        <v>2.5806451612903225</v>
      </c>
      <c r="M770" s="59">
        <f>Datasheet!M979/31</f>
        <v>7.741935483870968</v>
      </c>
      <c r="N770" s="59">
        <f>Datasheet!N979/31</f>
        <v>7.258064516129032</v>
      </c>
      <c r="O770" s="59">
        <f>Datasheet!O979/31</f>
        <v>7.4516129032258061</v>
      </c>
      <c r="P770" s="59">
        <f>Datasheet!P979/31</f>
        <v>6.4838709677419351</v>
      </c>
      <c r="Q770" s="59">
        <f>Datasheet!Q979/31</f>
        <v>4.161290322580645</v>
      </c>
      <c r="R770" s="59">
        <f>Datasheet!R979/31</f>
        <v>4</v>
      </c>
      <c r="S770" s="59">
        <f>Datasheet!S979/31</f>
        <v>2.7419354838709675</v>
      </c>
      <c r="T770" s="59">
        <f>Datasheet!T979/31</f>
        <v>2.6451612903225805</v>
      </c>
      <c r="U770" s="59">
        <f>Datasheet!U979/31</f>
        <v>3.4516129032258065</v>
      </c>
      <c r="V770" s="59">
        <f>Datasheet!V979/31</f>
        <v>0.32258064516129031</v>
      </c>
      <c r="W770" s="59">
        <f>Datasheet!W979/31</f>
        <v>6.064516129032258</v>
      </c>
      <c r="X770" s="59">
        <f>Datasheet!X979/31</f>
        <v>1.2258064516129032</v>
      </c>
      <c r="Y770" s="59">
        <f>Datasheet!Y979/31</f>
        <v>0.70967741935483875</v>
      </c>
      <c r="Z770" s="59">
        <f>Datasheet!Z979/31</f>
        <v>3.129032258064516</v>
      </c>
      <c r="AA770" s="59">
        <f>Datasheet!AA979/31</f>
        <v>1.096774193548387</v>
      </c>
      <c r="AB770" s="59">
        <f>Datasheet!AB979/31</f>
        <v>0</v>
      </c>
      <c r="AC770" s="59">
        <f>Datasheet!AC979/31</f>
        <v>0</v>
      </c>
      <c r="AD770" s="59">
        <f>Datasheet!AD979/31</f>
        <v>0</v>
      </c>
      <c r="AE770" s="59">
        <f>Datasheet!AE979/31</f>
        <v>0</v>
      </c>
      <c r="AF770" s="59">
        <f>Datasheet!AF979/31</f>
        <v>0</v>
      </c>
      <c r="AG770" s="59">
        <f>Datasheet!AG979/31</f>
        <v>0</v>
      </c>
      <c r="AH770" s="59">
        <f>Datasheet!AH979/31</f>
        <v>0</v>
      </c>
      <c r="AI770" s="59">
        <f>Datasheet!AI979/31</f>
        <v>0</v>
      </c>
      <c r="AJ770" s="59">
        <f>Datasheet!AJ979/31</f>
        <v>0</v>
      </c>
      <c r="AK770" s="59">
        <f>Datasheet!AK979/31</f>
        <v>0</v>
      </c>
    </row>
    <row r="771" spans="6:37" x14ac:dyDescent="0.25">
      <c r="F771" t="s">
        <v>490</v>
      </c>
      <c r="H771" s="9"/>
    </row>
    <row r="772" spans="6:37" x14ac:dyDescent="0.25">
      <c r="G772" s="9" t="s">
        <v>314</v>
      </c>
      <c r="H772" s="9" t="s">
        <v>1267</v>
      </c>
      <c r="Q772" s="59">
        <f>Datasheet!Q990/31</f>
        <v>139.80645161290323</v>
      </c>
      <c r="R772" s="59">
        <f>Datasheet!R990/31</f>
        <v>80.322580645161295</v>
      </c>
      <c r="S772" s="59">
        <f>Datasheet!S990/31</f>
        <v>169.12903225806451</v>
      </c>
      <c r="T772" s="59">
        <f>Datasheet!T990/31</f>
        <v>176.74193548387098</v>
      </c>
      <c r="U772" s="59">
        <f>Datasheet!U990/31</f>
        <v>191.64516129032259</v>
      </c>
      <c r="V772" s="59">
        <f>Datasheet!V990/31</f>
        <v>170.7741935483871</v>
      </c>
      <c r="W772" s="59">
        <f>Datasheet!W990/31</f>
        <v>174.19354838709677</v>
      </c>
      <c r="X772" s="59">
        <f>Datasheet!X990/31</f>
        <v>202.32258064516128</v>
      </c>
      <c r="Y772" s="59">
        <f>Datasheet!Y990/31</f>
        <v>185.2258064516129</v>
      </c>
      <c r="Z772" s="59">
        <f>Datasheet!Z990/31</f>
        <v>209.19354838709677</v>
      </c>
      <c r="AA772" s="59">
        <f>Datasheet!AA990/31</f>
        <v>206.83870967741936</v>
      </c>
      <c r="AB772" s="59">
        <f>Datasheet!AB990/31</f>
        <v>0</v>
      </c>
      <c r="AC772" s="59">
        <f>Datasheet!AC990/31</f>
        <v>0</v>
      </c>
      <c r="AD772" s="59">
        <f>Datasheet!AD990/31</f>
        <v>0</v>
      </c>
      <c r="AE772" s="59">
        <f>Datasheet!AE990/31</f>
        <v>0</v>
      </c>
      <c r="AF772" s="59">
        <f>Datasheet!AF990/31</f>
        <v>0</v>
      </c>
      <c r="AG772" s="59">
        <f>Datasheet!AG990/31</f>
        <v>0</v>
      </c>
      <c r="AH772" s="59">
        <f>Datasheet!AH990/31</f>
        <v>0</v>
      </c>
      <c r="AI772" s="59">
        <f>Datasheet!AI990/31</f>
        <v>0</v>
      </c>
      <c r="AJ772" s="59">
        <f>Datasheet!AJ990/31</f>
        <v>0</v>
      </c>
      <c r="AK772" s="59">
        <f>Datasheet!AK990/31</f>
        <v>0</v>
      </c>
    </row>
    <row r="773" spans="6:37" x14ac:dyDescent="0.25">
      <c r="G773" s="9" t="s">
        <v>315</v>
      </c>
      <c r="H773" s="9" t="s">
        <v>1267</v>
      </c>
      <c r="Q773" s="59">
        <f>Datasheet!Q991/28</f>
        <v>106.85714285714286</v>
      </c>
      <c r="R773" s="59">
        <f>Datasheet!R991/28</f>
        <v>103.10714285714286</v>
      </c>
      <c r="S773" s="59">
        <f>Datasheet!S991/28</f>
        <v>214.39285714285714</v>
      </c>
      <c r="T773" s="59">
        <f>Datasheet!T991/28</f>
        <v>229.57142857142858</v>
      </c>
      <c r="U773" s="59">
        <f>Datasheet!U991/28</f>
        <v>227</v>
      </c>
      <c r="V773" s="59">
        <f>Datasheet!V991/28</f>
        <v>219.85714285714286</v>
      </c>
      <c r="W773" s="59">
        <f>Datasheet!W991/28</f>
        <v>212</v>
      </c>
      <c r="X773" s="59">
        <f>Datasheet!X991/28</f>
        <v>227.21428571428572</v>
      </c>
      <c r="Y773" s="59">
        <f>Datasheet!Y991/28</f>
        <v>218.39285714285714</v>
      </c>
      <c r="Z773" s="59">
        <f>Datasheet!Z991/28</f>
        <v>222.21428571428572</v>
      </c>
      <c r="AA773" s="59">
        <f>Datasheet!AA991/28</f>
        <v>229.46428571428572</v>
      </c>
      <c r="AB773" s="59">
        <f>Datasheet!AB991/28</f>
        <v>0</v>
      </c>
      <c r="AC773" s="59">
        <f>Datasheet!AC991/28</f>
        <v>0</v>
      </c>
      <c r="AD773" s="59">
        <f>Datasheet!AD991/28</f>
        <v>0</v>
      </c>
      <c r="AE773" s="59">
        <f>Datasheet!AE991/28</f>
        <v>0</v>
      </c>
      <c r="AF773" s="59">
        <f>Datasheet!AF991/28</f>
        <v>0</v>
      </c>
      <c r="AG773" s="59">
        <f>Datasheet!AG991/28</f>
        <v>0</v>
      </c>
      <c r="AH773" s="59">
        <f>Datasheet!AH991/28</f>
        <v>0</v>
      </c>
      <c r="AI773" s="59">
        <f>Datasheet!AI991/28</f>
        <v>0</v>
      </c>
      <c r="AJ773" s="59">
        <f>Datasheet!AJ991/28</f>
        <v>0</v>
      </c>
      <c r="AK773" s="59">
        <f>Datasheet!AK991/28</f>
        <v>0</v>
      </c>
    </row>
    <row r="774" spans="6:37" x14ac:dyDescent="0.25">
      <c r="G774" s="9" t="s">
        <v>316</v>
      </c>
      <c r="H774" s="9" t="s">
        <v>1267</v>
      </c>
      <c r="Q774" s="59">
        <f>Datasheet!Q992/31</f>
        <v>26.870967741935484</v>
      </c>
      <c r="R774" s="59">
        <f>Datasheet!R992/31</f>
        <v>31.225806451612904</v>
      </c>
      <c r="S774" s="59">
        <f>Datasheet!S992/31</f>
        <v>68.387096774193552</v>
      </c>
      <c r="T774" s="59">
        <f>Datasheet!T992/31</f>
        <v>76.838709677419359</v>
      </c>
      <c r="U774" s="59">
        <f>Datasheet!U992/31</f>
        <v>72.258064516129039</v>
      </c>
      <c r="V774" s="59">
        <f>Datasheet!V992/31</f>
        <v>19.129032258064516</v>
      </c>
      <c r="W774" s="59">
        <f>Datasheet!W992/31</f>
        <v>18.29032258064516</v>
      </c>
      <c r="X774" s="59">
        <f>Datasheet!X992/31</f>
        <v>25.387096774193548</v>
      </c>
      <c r="Y774" s="59">
        <f>Datasheet!Y992/31</f>
        <v>66</v>
      </c>
      <c r="Z774" s="59">
        <f>Datasheet!Z992/31</f>
        <v>0</v>
      </c>
      <c r="AA774" s="59">
        <f>Datasheet!AA992/31</f>
        <v>0</v>
      </c>
      <c r="AB774" s="59">
        <f>Datasheet!AB992/31</f>
        <v>0</v>
      </c>
      <c r="AC774" s="59">
        <f>Datasheet!AC992/31</f>
        <v>0</v>
      </c>
      <c r="AD774" s="59">
        <f>Datasheet!AD992/31</f>
        <v>0</v>
      </c>
      <c r="AE774" s="59">
        <f>Datasheet!AE992/31</f>
        <v>0</v>
      </c>
      <c r="AF774" s="59">
        <f>Datasheet!AF992/31</f>
        <v>0</v>
      </c>
      <c r="AG774" s="59">
        <f>Datasheet!AG992/31</f>
        <v>0</v>
      </c>
      <c r="AH774" s="59">
        <f>Datasheet!AH992/31</f>
        <v>0</v>
      </c>
      <c r="AI774" s="59">
        <f>Datasheet!AI992/31</f>
        <v>0</v>
      </c>
      <c r="AJ774" s="59">
        <f>Datasheet!AJ992/31</f>
        <v>0</v>
      </c>
      <c r="AK774" s="59">
        <f>Datasheet!AK992/31</f>
        <v>0</v>
      </c>
    </row>
    <row r="775" spans="6:37" s="223" customFormat="1" x14ac:dyDescent="0.25">
      <c r="G775" s="9" t="s">
        <v>317</v>
      </c>
      <c r="H775" s="9" t="s">
        <v>1267</v>
      </c>
      <c r="Q775" s="59">
        <f>Datasheet!Q993/30</f>
        <v>0</v>
      </c>
      <c r="R775" s="59">
        <f>Datasheet!R993/30</f>
        <v>0</v>
      </c>
      <c r="S775" s="59">
        <f>Datasheet!S993/30</f>
        <v>0</v>
      </c>
      <c r="T775" s="59">
        <f>Datasheet!T993/30</f>
        <v>0</v>
      </c>
      <c r="U775" s="59">
        <f>Datasheet!U993/30</f>
        <v>0</v>
      </c>
      <c r="V775" s="59">
        <f>Datasheet!V993/30</f>
        <v>0</v>
      </c>
      <c r="W775" s="59">
        <f>Datasheet!W993/30</f>
        <v>0</v>
      </c>
      <c r="X775" s="59">
        <f>Datasheet!X993/30</f>
        <v>0</v>
      </c>
      <c r="Y775" s="59">
        <f>Datasheet!Y993/30</f>
        <v>0</v>
      </c>
      <c r="Z775" s="59">
        <f>Datasheet!Z993/30</f>
        <v>0</v>
      </c>
      <c r="AA775" s="59">
        <f>Datasheet!AA993/30</f>
        <v>0</v>
      </c>
      <c r="AB775" s="59">
        <f>Datasheet!AB993/30</f>
        <v>0</v>
      </c>
      <c r="AC775" s="59">
        <f>Datasheet!AC993/30</f>
        <v>0</v>
      </c>
      <c r="AD775" s="59">
        <f>Datasheet!AD993/30</f>
        <v>0</v>
      </c>
      <c r="AE775" s="59">
        <f>Datasheet!AE993/30</f>
        <v>0</v>
      </c>
      <c r="AF775" s="59">
        <f>Datasheet!AF993/30</f>
        <v>0</v>
      </c>
      <c r="AG775" s="59">
        <f>Datasheet!AG993/30</f>
        <v>0</v>
      </c>
      <c r="AH775" s="59">
        <f>Datasheet!AH993/30</f>
        <v>0</v>
      </c>
      <c r="AI775" s="59">
        <f>Datasheet!AI993/30</f>
        <v>0</v>
      </c>
      <c r="AJ775" s="59">
        <f>Datasheet!AJ993/30</f>
        <v>0</v>
      </c>
      <c r="AK775" s="59">
        <f>Datasheet!AK993/30</f>
        <v>0</v>
      </c>
    </row>
    <row r="776" spans="6:37" s="223" customFormat="1" x14ac:dyDescent="0.25">
      <c r="G776" s="9" t="s">
        <v>318</v>
      </c>
      <c r="H776" s="9" t="s">
        <v>1267</v>
      </c>
      <c r="Q776" s="59">
        <f>Datasheet!Q994/31</f>
        <v>806.61290322580646</v>
      </c>
      <c r="R776" s="59">
        <f>Datasheet!R994/31</f>
        <v>685.93548387096769</v>
      </c>
      <c r="S776" s="59">
        <f>Datasheet!S994/31</f>
        <v>547.32258064516134</v>
      </c>
      <c r="T776" s="59">
        <f>Datasheet!T994/31</f>
        <v>686.09677419354841</v>
      </c>
      <c r="U776" s="59">
        <f>Datasheet!U994/31</f>
        <v>704.83870967741939</v>
      </c>
      <c r="V776" s="59">
        <f>Datasheet!V994/31</f>
        <v>1275.6774193548388</v>
      </c>
      <c r="W776" s="59">
        <f>Datasheet!W994/31</f>
        <v>1140.3225806451612</v>
      </c>
      <c r="X776" s="59">
        <f>Datasheet!X994/31</f>
        <v>1321.7096774193549</v>
      </c>
      <c r="Y776" s="59">
        <f>Datasheet!Y994/31</f>
        <v>1080.2903225806451</v>
      </c>
      <c r="Z776" s="59">
        <f>Datasheet!Z994/31</f>
        <v>902</v>
      </c>
      <c r="AA776" s="59">
        <f>Datasheet!AA994/31</f>
        <v>0</v>
      </c>
      <c r="AB776" s="59">
        <f>Datasheet!AB994/31</f>
        <v>0</v>
      </c>
      <c r="AC776" s="59">
        <f>Datasheet!AC994/31</f>
        <v>0</v>
      </c>
      <c r="AD776" s="59">
        <f>Datasheet!AD994/31</f>
        <v>0</v>
      </c>
      <c r="AE776" s="59">
        <f>Datasheet!AE994/31</f>
        <v>0</v>
      </c>
      <c r="AF776" s="59">
        <f>Datasheet!AF994/31</f>
        <v>0</v>
      </c>
      <c r="AG776" s="59">
        <f>Datasheet!AG994/31</f>
        <v>0</v>
      </c>
      <c r="AH776" s="59">
        <f>Datasheet!AH994/31</f>
        <v>0</v>
      </c>
      <c r="AI776" s="59">
        <f>Datasheet!AI994/31</f>
        <v>0</v>
      </c>
      <c r="AJ776" s="59">
        <f>Datasheet!AJ994/31</f>
        <v>0</v>
      </c>
      <c r="AK776" s="59">
        <f>Datasheet!AK994/31</f>
        <v>0</v>
      </c>
    </row>
    <row r="777" spans="6:37" s="223" customFormat="1" x14ac:dyDescent="0.25">
      <c r="G777" s="9" t="s">
        <v>319</v>
      </c>
      <c r="H777" s="9" t="s">
        <v>1267</v>
      </c>
      <c r="Q777" s="59">
        <f>Datasheet!Q995/30</f>
        <v>3778.7333333333331</v>
      </c>
      <c r="R777" s="59">
        <f>Datasheet!R995/30</f>
        <v>3624.3</v>
      </c>
      <c r="S777" s="59">
        <f>Datasheet!S995/30</f>
        <v>4195.333333333333</v>
      </c>
      <c r="T777" s="59">
        <f>Datasheet!T995/30</f>
        <v>4326.5666666666666</v>
      </c>
      <c r="U777" s="59">
        <f>Datasheet!U995/30</f>
        <v>4091.2</v>
      </c>
      <c r="V777" s="59">
        <f>Datasheet!V995/30</f>
        <v>4769.8999999999996</v>
      </c>
      <c r="W777" s="59">
        <f>Datasheet!W995/30</f>
        <v>4641.333333333333</v>
      </c>
      <c r="X777" s="59">
        <f>Datasheet!X995/30</f>
        <v>4920.3</v>
      </c>
      <c r="Y777" s="59">
        <f>Datasheet!Y995/30</f>
        <v>4853.833333333333</v>
      </c>
      <c r="Z777" s="59">
        <f>Datasheet!Z995/30</f>
        <v>3705.7</v>
      </c>
      <c r="AA777" s="59">
        <f>Datasheet!AA995/30</f>
        <v>1033.8333333333333</v>
      </c>
      <c r="AB777" s="59">
        <f>Datasheet!AB995/30</f>
        <v>0</v>
      </c>
      <c r="AC777" s="59">
        <f>Datasheet!AC995/30</f>
        <v>0</v>
      </c>
      <c r="AD777" s="59">
        <f>Datasheet!AD995/30</f>
        <v>0</v>
      </c>
      <c r="AE777" s="59">
        <f>Datasheet!AE995/30</f>
        <v>0</v>
      </c>
      <c r="AF777" s="59">
        <f>Datasheet!AF995/30</f>
        <v>0</v>
      </c>
      <c r="AG777" s="59">
        <f>Datasheet!AG995/30</f>
        <v>0</v>
      </c>
      <c r="AH777" s="59">
        <f>Datasheet!AH995/30</f>
        <v>0</v>
      </c>
      <c r="AI777" s="59">
        <f>Datasheet!AI995/30</f>
        <v>0</v>
      </c>
      <c r="AJ777" s="59">
        <f>Datasheet!AJ995/30</f>
        <v>0</v>
      </c>
      <c r="AK777" s="59">
        <f>Datasheet!AK995/30</f>
        <v>0</v>
      </c>
    </row>
    <row r="778" spans="6:37" s="223" customFormat="1" x14ac:dyDescent="0.25">
      <c r="G778" s="9" t="s">
        <v>320</v>
      </c>
      <c r="H778" s="9" t="s">
        <v>1267</v>
      </c>
      <c r="Q778" s="59">
        <f>Datasheet!Q996/31</f>
        <v>5097.5806451612907</v>
      </c>
      <c r="R778" s="59">
        <f>Datasheet!R996/31</f>
        <v>5061.9032258064517</v>
      </c>
      <c r="S778" s="59">
        <f>Datasheet!S996/31</f>
        <v>5121.7419354838712</v>
      </c>
      <c r="T778" s="59">
        <f>Datasheet!T996/31</f>
        <v>5030.0645161290322</v>
      </c>
      <c r="U778" s="59">
        <f>Datasheet!U996/31</f>
        <v>5067.4193548387093</v>
      </c>
      <c r="V778" s="59">
        <f>Datasheet!V996/31</f>
        <v>4886.9032258064517</v>
      </c>
      <c r="W778" s="59">
        <f>Datasheet!W996/31</f>
        <v>5086.5806451612907</v>
      </c>
      <c r="X778" s="59">
        <f>Datasheet!X996/31</f>
        <v>5173.9677419354839</v>
      </c>
      <c r="Y778" s="59">
        <f>Datasheet!Y996/31</f>
        <v>5131.322580645161</v>
      </c>
      <c r="Z778" s="59">
        <f>Datasheet!Z996/31</f>
        <v>4536.3548387096771</v>
      </c>
      <c r="AA778" s="59">
        <f>Datasheet!AA996/31</f>
        <v>2622.2580645161293</v>
      </c>
      <c r="AB778" s="59">
        <f>Datasheet!AB996/31</f>
        <v>0</v>
      </c>
      <c r="AC778" s="59">
        <f>Datasheet!AC996/31</f>
        <v>0</v>
      </c>
      <c r="AD778" s="59">
        <f>Datasheet!AD996/31</f>
        <v>0</v>
      </c>
      <c r="AE778" s="59">
        <f>Datasheet!AE996/31</f>
        <v>0</v>
      </c>
      <c r="AF778" s="59">
        <f>Datasheet!AF996/31</f>
        <v>0</v>
      </c>
      <c r="AG778" s="59">
        <f>Datasheet!AG996/31</f>
        <v>0</v>
      </c>
      <c r="AH778" s="59">
        <f>Datasheet!AH996/31</f>
        <v>0</v>
      </c>
      <c r="AI778" s="59">
        <f>Datasheet!AI996/31</f>
        <v>0</v>
      </c>
      <c r="AJ778" s="59">
        <f>Datasheet!AJ996/31</f>
        <v>0</v>
      </c>
      <c r="AK778" s="59">
        <f>Datasheet!AK996/31</f>
        <v>0</v>
      </c>
    </row>
    <row r="779" spans="6:37" s="223" customFormat="1" x14ac:dyDescent="0.25">
      <c r="G779" s="9" t="s">
        <v>321</v>
      </c>
      <c r="H779" s="9" t="s">
        <v>1267</v>
      </c>
      <c r="Q779" s="59">
        <f>Datasheet!Q997/31</f>
        <v>4488.7096774193551</v>
      </c>
      <c r="R779" s="59">
        <f>Datasheet!R997/31</f>
        <v>4451.2903225806449</v>
      </c>
      <c r="S779" s="59">
        <f>Datasheet!S997/31</f>
        <v>4565.4516129032254</v>
      </c>
      <c r="T779" s="59">
        <f>Datasheet!T997/31</f>
        <v>4682.1935483870966</v>
      </c>
      <c r="U779" s="59">
        <f>Datasheet!U997/31</f>
        <v>4666.5806451612907</v>
      </c>
      <c r="V779" s="59">
        <f>Datasheet!V997/31</f>
        <v>4594.1935483870966</v>
      </c>
      <c r="W779" s="59">
        <f>Datasheet!W997/31</f>
        <v>4918.0322580645161</v>
      </c>
      <c r="X779" s="59">
        <f>Datasheet!X997/31</f>
        <v>5206.1935483870966</v>
      </c>
      <c r="Y779" s="59">
        <f>Datasheet!Y997/31</f>
        <v>4833.1612903225805</v>
      </c>
      <c r="Z779" s="59">
        <f>Datasheet!Z997/31</f>
        <v>3982.9677419354839</v>
      </c>
      <c r="AA779" s="59">
        <f>Datasheet!AA997/31</f>
        <v>2382.4193548387098</v>
      </c>
      <c r="AB779" s="59">
        <f>Datasheet!AB997/31</f>
        <v>0</v>
      </c>
      <c r="AC779" s="59">
        <f>Datasheet!AC997/31</f>
        <v>0</v>
      </c>
      <c r="AD779" s="59">
        <f>Datasheet!AD997/31</f>
        <v>0</v>
      </c>
      <c r="AE779" s="59">
        <f>Datasheet!AE997/31</f>
        <v>0</v>
      </c>
      <c r="AF779" s="59">
        <f>Datasheet!AF997/31</f>
        <v>0</v>
      </c>
      <c r="AG779" s="59">
        <f>Datasheet!AG997/31</f>
        <v>0</v>
      </c>
      <c r="AH779" s="59">
        <f>Datasheet!AH997/31</f>
        <v>0</v>
      </c>
      <c r="AI779" s="59">
        <f>Datasheet!AI997/31</f>
        <v>0</v>
      </c>
      <c r="AJ779" s="59">
        <f>Datasheet!AJ997/31</f>
        <v>0</v>
      </c>
      <c r="AK779" s="59">
        <f>Datasheet!AK997/31</f>
        <v>0</v>
      </c>
    </row>
    <row r="780" spans="6:37" s="223" customFormat="1" x14ac:dyDescent="0.25">
      <c r="G780" s="9" t="s">
        <v>322</v>
      </c>
      <c r="H780" s="9" t="s">
        <v>1267</v>
      </c>
      <c r="Q780" s="59">
        <f>Datasheet!Q998/30</f>
        <v>3144.4333333333334</v>
      </c>
      <c r="R780" s="59">
        <f>Datasheet!R998/30</f>
        <v>3321.1333333333332</v>
      </c>
      <c r="S780" s="59">
        <f>Datasheet!S998/30</f>
        <v>3447.2</v>
      </c>
      <c r="T780" s="59">
        <f>Datasheet!T998/30</f>
        <v>3217</v>
      </c>
      <c r="U780" s="59">
        <f>Datasheet!U998/30</f>
        <v>3073.7</v>
      </c>
      <c r="V780" s="59">
        <f>Datasheet!V998/30</f>
        <v>3119.9333333333334</v>
      </c>
      <c r="W780" s="59">
        <f>Datasheet!W998/30</f>
        <v>3325.9</v>
      </c>
      <c r="X780" s="59">
        <f>Datasheet!X998/30</f>
        <v>3402.1</v>
      </c>
      <c r="Y780" s="59">
        <f>Datasheet!Y998/30</f>
        <v>4499.7666666666664</v>
      </c>
      <c r="Z780" s="59">
        <f>Datasheet!Z998/30</f>
        <v>3448.2666666666669</v>
      </c>
      <c r="AA780" s="59">
        <f>Datasheet!AA998/30</f>
        <v>1187.7666666666667</v>
      </c>
      <c r="AB780" s="59">
        <f>Datasheet!AB998/30</f>
        <v>0</v>
      </c>
      <c r="AC780" s="59">
        <f>Datasheet!AC998/30</f>
        <v>0</v>
      </c>
      <c r="AD780" s="59">
        <f>Datasheet!AD998/30</f>
        <v>0</v>
      </c>
      <c r="AE780" s="59">
        <f>Datasheet!AE998/30</f>
        <v>0</v>
      </c>
      <c r="AF780" s="59">
        <f>Datasheet!AF998/30</f>
        <v>0</v>
      </c>
      <c r="AG780" s="59">
        <f>Datasheet!AG998/30</f>
        <v>0</v>
      </c>
      <c r="AH780" s="59">
        <f>Datasheet!AH998/30</f>
        <v>0</v>
      </c>
      <c r="AI780" s="59">
        <f>Datasheet!AI998/30</f>
        <v>0</v>
      </c>
      <c r="AJ780" s="59">
        <f>Datasheet!AJ998/30</f>
        <v>0</v>
      </c>
      <c r="AK780" s="59">
        <f>Datasheet!AK998/30</f>
        <v>0</v>
      </c>
    </row>
    <row r="781" spans="6:37" s="223" customFormat="1" x14ac:dyDescent="0.25">
      <c r="G781" s="9" t="s">
        <v>323</v>
      </c>
      <c r="H781" s="9" t="s">
        <v>1267</v>
      </c>
      <c r="Q781" s="59">
        <f>Datasheet!Q999/31</f>
        <v>544.06451612903231</v>
      </c>
      <c r="R781" s="59">
        <f>Datasheet!R999/31</f>
        <v>454.58064516129031</v>
      </c>
      <c r="S781" s="59">
        <f>Datasheet!S999/31</f>
        <v>641.38709677419354</v>
      </c>
      <c r="T781" s="59">
        <f>Datasheet!T999/31</f>
        <v>243.41935483870967</v>
      </c>
      <c r="U781" s="59">
        <f>Datasheet!U999/31</f>
        <v>690.06451612903231</v>
      </c>
      <c r="V781" s="59">
        <f>Datasheet!V999/31</f>
        <v>389.77419354838707</v>
      </c>
      <c r="W781" s="59">
        <f>Datasheet!W999/31</f>
        <v>409.51612903225805</v>
      </c>
      <c r="X781" s="59">
        <f>Datasheet!X999/31</f>
        <v>424.80645161290323</v>
      </c>
      <c r="Y781" s="59">
        <f>Datasheet!Y999/31</f>
        <v>83.387096774193552</v>
      </c>
      <c r="Z781" s="59">
        <f>Datasheet!Z999/31</f>
        <v>514.9677419354839</v>
      </c>
      <c r="AA781" s="59">
        <f>Datasheet!AA999/31</f>
        <v>311.58064516129031</v>
      </c>
      <c r="AB781" s="59">
        <f>Datasheet!AB999/31</f>
        <v>0</v>
      </c>
      <c r="AC781" s="59">
        <f>Datasheet!AC999/31</f>
        <v>0</v>
      </c>
      <c r="AD781" s="59">
        <f>Datasheet!AD999/31</f>
        <v>0</v>
      </c>
      <c r="AE781" s="59">
        <f>Datasheet!AE999/31</f>
        <v>0</v>
      </c>
      <c r="AF781" s="59">
        <f>Datasheet!AF999/31</f>
        <v>0</v>
      </c>
      <c r="AG781" s="59">
        <f>Datasheet!AG999/31</f>
        <v>0</v>
      </c>
      <c r="AH781" s="59">
        <f>Datasheet!AH999/31</f>
        <v>0</v>
      </c>
      <c r="AI781" s="59">
        <f>Datasheet!AI999/31</f>
        <v>0</v>
      </c>
      <c r="AJ781" s="59">
        <f>Datasheet!AJ999/31</f>
        <v>0</v>
      </c>
      <c r="AK781" s="59">
        <f>Datasheet!AK999/31</f>
        <v>0</v>
      </c>
    </row>
    <row r="782" spans="6:37" s="223" customFormat="1" x14ac:dyDescent="0.25">
      <c r="G782" s="9" t="s">
        <v>324</v>
      </c>
      <c r="H782" s="9" t="s">
        <v>1267</v>
      </c>
      <c r="Q782" s="59">
        <f>Datasheet!Q1000/30</f>
        <v>0</v>
      </c>
      <c r="R782" s="59">
        <f>Datasheet!R1000/30</f>
        <v>0</v>
      </c>
      <c r="S782" s="59">
        <f>Datasheet!S1000/30</f>
        <v>0</v>
      </c>
      <c r="T782" s="59">
        <f>Datasheet!T1000/30</f>
        <v>0.53333333333333333</v>
      </c>
      <c r="U782" s="59">
        <f>Datasheet!U1000/30</f>
        <v>0</v>
      </c>
      <c r="V782" s="59">
        <f>Datasheet!V1000/30</f>
        <v>0</v>
      </c>
      <c r="W782" s="59">
        <f>Datasheet!W1000/30</f>
        <v>2.9666666666666668</v>
      </c>
      <c r="X782" s="59">
        <f>Datasheet!X1000/30</f>
        <v>0.2</v>
      </c>
      <c r="Y782" s="59">
        <f>Datasheet!Y1000/30</f>
        <v>0.43333333333333335</v>
      </c>
      <c r="Z782" s="59">
        <f>Datasheet!Z1000/30</f>
        <v>0.6333333333333333</v>
      </c>
      <c r="AA782" s="59">
        <f>Datasheet!AA1000/30</f>
        <v>0</v>
      </c>
      <c r="AB782" s="59">
        <f>Datasheet!AB1000/30</f>
        <v>0</v>
      </c>
      <c r="AC782" s="59">
        <f>Datasheet!AC1000/30</f>
        <v>0</v>
      </c>
      <c r="AD782" s="59">
        <f>Datasheet!AD1000/30</f>
        <v>0</v>
      </c>
      <c r="AE782" s="59">
        <f>Datasheet!AE1000/30</f>
        <v>0</v>
      </c>
      <c r="AF782" s="59">
        <f>Datasheet!AF1000/30</f>
        <v>0</v>
      </c>
      <c r="AG782" s="59">
        <f>Datasheet!AG1000/30</f>
        <v>0</v>
      </c>
      <c r="AH782" s="59">
        <f>Datasheet!AH1000/30</f>
        <v>0</v>
      </c>
      <c r="AI782" s="59">
        <f>Datasheet!AI1000/30</f>
        <v>0</v>
      </c>
      <c r="AJ782" s="59">
        <f>Datasheet!AJ1000/30</f>
        <v>0</v>
      </c>
      <c r="AK782" s="59">
        <f>Datasheet!AK1000/30</f>
        <v>0</v>
      </c>
    </row>
    <row r="783" spans="6:37" s="223" customFormat="1" x14ac:dyDescent="0.25">
      <c r="G783" s="9" t="s">
        <v>325</v>
      </c>
      <c r="H783" s="9" t="s">
        <v>1267</v>
      </c>
      <c r="Q783" s="59">
        <f>Datasheet!Q1001/31</f>
        <v>37.645161290322584</v>
      </c>
      <c r="R783" s="59">
        <f>Datasheet!R1001/31</f>
        <v>84.516129032258064</v>
      </c>
      <c r="S783" s="59">
        <f>Datasheet!S1001/31</f>
        <v>57.967741935483872</v>
      </c>
      <c r="T783" s="59">
        <f>Datasheet!T1001/31</f>
        <v>44.225806451612904</v>
      </c>
      <c r="U783" s="59">
        <f>Datasheet!U1001/31</f>
        <v>97.645161290322577</v>
      </c>
      <c r="V783" s="59">
        <f>Datasheet!V1001/31</f>
        <v>88.064516129032256</v>
      </c>
      <c r="W783" s="59">
        <f>Datasheet!W1001/31</f>
        <v>96.58064516129032</v>
      </c>
      <c r="X783" s="59">
        <f>Datasheet!X1001/31</f>
        <v>74.483870967741936</v>
      </c>
      <c r="Y783" s="59">
        <f>Datasheet!Y1001/31</f>
        <v>76.806451612903231</v>
      </c>
      <c r="Z783" s="59">
        <f>Datasheet!Z1001/31</f>
        <v>62.387096774193552</v>
      </c>
      <c r="AA783" s="59">
        <f>Datasheet!AA1001/31</f>
        <v>0</v>
      </c>
      <c r="AB783" s="59">
        <f>Datasheet!AB1001/31</f>
        <v>0</v>
      </c>
      <c r="AC783" s="59">
        <f>Datasheet!AC1001/31</f>
        <v>0</v>
      </c>
      <c r="AD783" s="59">
        <f>Datasheet!AD1001/31</f>
        <v>0</v>
      </c>
      <c r="AE783" s="59">
        <f>Datasheet!AE1001/31</f>
        <v>0</v>
      </c>
      <c r="AF783" s="59">
        <f>Datasheet!AF1001/31</f>
        <v>0</v>
      </c>
      <c r="AG783" s="59">
        <f>Datasheet!AG1001/31</f>
        <v>0</v>
      </c>
      <c r="AH783" s="59">
        <f>Datasheet!AH1001/31</f>
        <v>0</v>
      </c>
      <c r="AI783" s="59">
        <f>Datasheet!AI1001/31</f>
        <v>0</v>
      </c>
      <c r="AJ783" s="59">
        <f>Datasheet!AJ1001/31</f>
        <v>0</v>
      </c>
      <c r="AK783" s="59">
        <f>Datasheet!AK1001/31</f>
        <v>0</v>
      </c>
    </row>
    <row r="784" spans="6:37" x14ac:dyDescent="0.25">
      <c r="F784" t="s">
        <v>491</v>
      </c>
    </row>
    <row r="785" spans="1:37" x14ac:dyDescent="0.25">
      <c r="G785" t="s">
        <v>462</v>
      </c>
      <c r="H785" s="9" t="s">
        <v>1319</v>
      </c>
      <c r="I785" s="223">
        <v>122</v>
      </c>
      <c r="J785" s="223">
        <v>122</v>
      </c>
      <c r="K785" s="223">
        <v>122</v>
      </c>
      <c r="L785" s="223">
        <v>122</v>
      </c>
      <c r="M785" s="223">
        <v>122</v>
      </c>
      <c r="N785" s="223">
        <v>122</v>
      </c>
      <c r="O785" s="223">
        <v>122</v>
      </c>
      <c r="P785" s="223">
        <v>122</v>
      </c>
      <c r="Q785">
        <v>122</v>
      </c>
      <c r="R785">
        <v>122</v>
      </c>
      <c r="S785">
        <v>122</v>
      </c>
      <c r="T785">
        <v>122</v>
      </c>
      <c r="U785">
        <v>122</v>
      </c>
      <c r="V785">
        <v>122</v>
      </c>
      <c r="W785">
        <v>122</v>
      </c>
      <c r="X785">
        <v>122</v>
      </c>
      <c r="Y785">
        <v>122</v>
      </c>
      <c r="Z785">
        <v>122</v>
      </c>
      <c r="AA785">
        <v>122</v>
      </c>
      <c r="AB785">
        <v>122</v>
      </c>
      <c r="AC785">
        <v>122</v>
      </c>
      <c r="AD785">
        <v>122</v>
      </c>
      <c r="AE785">
        <v>122</v>
      </c>
      <c r="AF785">
        <v>122</v>
      </c>
      <c r="AG785">
        <v>122</v>
      </c>
      <c r="AH785">
        <v>122</v>
      </c>
      <c r="AI785">
        <v>122</v>
      </c>
      <c r="AJ785">
        <v>122</v>
      </c>
      <c r="AK785">
        <v>122</v>
      </c>
    </row>
    <row r="786" spans="1:37" x14ac:dyDescent="0.25">
      <c r="G786" t="s">
        <v>463</v>
      </c>
      <c r="H786" s="9" t="s">
        <v>1319</v>
      </c>
      <c r="I786" s="223">
        <v>121</v>
      </c>
      <c r="J786" s="223">
        <v>121</v>
      </c>
      <c r="K786" s="223">
        <v>121</v>
      </c>
      <c r="L786" s="223">
        <v>121</v>
      </c>
      <c r="M786" s="223">
        <v>121</v>
      </c>
      <c r="N786" s="223">
        <v>121</v>
      </c>
      <c r="O786" s="223">
        <v>121</v>
      </c>
      <c r="P786" s="223">
        <v>121</v>
      </c>
      <c r="Q786">
        <v>121</v>
      </c>
      <c r="R786">
        <v>121</v>
      </c>
      <c r="S786">
        <v>121</v>
      </c>
      <c r="T786">
        <v>121</v>
      </c>
      <c r="U786">
        <v>121</v>
      </c>
      <c r="V786">
        <v>121</v>
      </c>
      <c r="W786">
        <v>121</v>
      </c>
      <c r="X786">
        <v>121</v>
      </c>
      <c r="Y786">
        <v>121</v>
      </c>
      <c r="Z786">
        <v>121</v>
      </c>
      <c r="AA786">
        <v>121</v>
      </c>
      <c r="AB786">
        <v>121</v>
      </c>
      <c r="AC786">
        <v>121</v>
      </c>
      <c r="AD786">
        <v>121</v>
      </c>
      <c r="AE786">
        <v>121</v>
      </c>
      <c r="AF786">
        <v>121</v>
      </c>
      <c r="AG786">
        <v>121</v>
      </c>
      <c r="AH786">
        <v>121</v>
      </c>
      <c r="AI786">
        <v>121</v>
      </c>
      <c r="AJ786">
        <v>121</v>
      </c>
      <c r="AK786">
        <v>121</v>
      </c>
    </row>
    <row r="787" spans="1:37" x14ac:dyDescent="0.25">
      <c r="G787" t="s">
        <v>464</v>
      </c>
      <c r="H787" s="9" t="s">
        <v>1319</v>
      </c>
      <c r="I787" s="223">
        <v>122</v>
      </c>
      <c r="J787" s="223">
        <v>122</v>
      </c>
      <c r="K787" s="223">
        <v>122</v>
      </c>
      <c r="L787" s="223">
        <v>122</v>
      </c>
      <c r="M787" s="223">
        <v>122</v>
      </c>
      <c r="N787" s="223">
        <v>122</v>
      </c>
      <c r="O787" s="223">
        <v>122</v>
      </c>
      <c r="P787" s="223">
        <v>122</v>
      </c>
      <c r="Q787">
        <v>122</v>
      </c>
      <c r="R787">
        <v>122</v>
      </c>
      <c r="S787">
        <v>122</v>
      </c>
      <c r="T787">
        <v>122</v>
      </c>
      <c r="U787">
        <v>122</v>
      </c>
      <c r="V787">
        <v>122</v>
      </c>
      <c r="W787">
        <v>122</v>
      </c>
      <c r="X787">
        <v>122</v>
      </c>
      <c r="Y787">
        <v>122</v>
      </c>
      <c r="Z787">
        <v>122</v>
      </c>
      <c r="AA787">
        <v>122</v>
      </c>
      <c r="AB787">
        <v>122</v>
      </c>
      <c r="AC787">
        <v>122</v>
      </c>
      <c r="AD787">
        <v>122</v>
      </c>
      <c r="AE787">
        <v>122</v>
      </c>
      <c r="AF787">
        <v>122</v>
      </c>
      <c r="AG787">
        <v>122</v>
      </c>
      <c r="AH787">
        <v>122</v>
      </c>
      <c r="AI787">
        <v>122</v>
      </c>
      <c r="AJ787">
        <v>122</v>
      </c>
      <c r="AK787">
        <v>122</v>
      </c>
    </row>
    <row r="789" spans="1:37" s="92" customFormat="1" x14ac:dyDescent="0.25"/>
    <row r="790" spans="1:37" s="98" customFormat="1" ht="17.25" x14ac:dyDescent="0.3">
      <c r="A790" s="98" t="s">
        <v>10</v>
      </c>
    </row>
    <row r="791" spans="1:37" x14ac:dyDescent="0.25">
      <c r="B791" s="64" t="s">
        <v>33</v>
      </c>
      <c r="C791" t="s">
        <v>336</v>
      </c>
    </row>
    <row r="792" spans="1:37" x14ac:dyDescent="0.25">
      <c r="B792" s="64" t="s">
        <v>626</v>
      </c>
      <c r="C792" t="s">
        <v>1613</v>
      </c>
    </row>
    <row r="793" spans="1:37" x14ac:dyDescent="0.25">
      <c r="B793" s="64" t="s">
        <v>420</v>
      </c>
      <c r="C793" t="s">
        <v>858</v>
      </c>
    </row>
    <row r="794" spans="1:37" x14ac:dyDescent="0.25">
      <c r="B794" s="64"/>
      <c r="D794" t="s">
        <v>856</v>
      </c>
    </row>
    <row r="795" spans="1:37" x14ac:dyDescent="0.25">
      <c r="B795" s="64" t="s">
        <v>429</v>
      </c>
      <c r="C795" s="195" t="s">
        <v>10</v>
      </c>
    </row>
    <row r="796" spans="1:37" x14ac:dyDescent="0.25">
      <c r="B796" s="64" t="s">
        <v>421</v>
      </c>
      <c r="C796" t="s">
        <v>855</v>
      </c>
    </row>
    <row r="797" spans="1:37" x14ac:dyDescent="0.25">
      <c r="B797" s="64" t="s">
        <v>425</v>
      </c>
    </row>
    <row r="798" spans="1:37" x14ac:dyDescent="0.25">
      <c r="B798" s="64" t="s">
        <v>333</v>
      </c>
      <c r="C798" t="s">
        <v>854</v>
      </c>
    </row>
    <row r="799" spans="1:37" s="121" customFormat="1" ht="15.75" thickBot="1" x14ac:dyDescent="0.3">
      <c r="B799" s="130" t="s">
        <v>334</v>
      </c>
      <c r="C799" s="121" t="s">
        <v>1614</v>
      </c>
    </row>
    <row r="800" spans="1:37" ht="15.75" thickTop="1" x14ac:dyDescent="0.25"/>
    <row r="815" spans="2:37" s="9" customFormat="1" x14ac:dyDescent="0.25">
      <c r="B815" s="66" t="s">
        <v>34</v>
      </c>
      <c r="C815" s="51" t="s">
        <v>314</v>
      </c>
      <c r="H815" s="9" t="s">
        <v>1320</v>
      </c>
      <c r="I815" s="138"/>
      <c r="J815" s="138"/>
      <c r="K815" s="138"/>
      <c r="L815" s="138"/>
      <c r="M815" s="138"/>
      <c r="N815" s="138">
        <f>Datasheet!N909</f>
        <v>0.52900000000000003</v>
      </c>
      <c r="O815" s="138">
        <f>Datasheet!O909</f>
        <v>0.54600000000000004</v>
      </c>
      <c r="P815" s="138">
        <f>Datasheet!P909</f>
        <v>0.48</v>
      </c>
      <c r="Q815" s="138">
        <f>Datasheet!Q909</f>
        <v>0.42</v>
      </c>
      <c r="R815" s="138">
        <f>Datasheet!R909</f>
        <v>0.4</v>
      </c>
      <c r="S815" s="138">
        <f>Datasheet!S909</f>
        <v>0.42299999999999999</v>
      </c>
      <c r="T815" s="138">
        <f>Datasheet!T909</f>
        <v>0.42</v>
      </c>
      <c r="U815" s="138">
        <f>Datasheet!U909</f>
        <v>0.51</v>
      </c>
      <c r="V815" s="138">
        <f>Datasheet!V909</f>
        <v>0.53100000000000003</v>
      </c>
      <c r="W815" s="138">
        <f>Datasheet!W909</f>
        <v>0.53200000000000003</v>
      </c>
      <c r="X815" s="138">
        <f>Datasheet!X909</f>
        <v>0.58399999999999996</v>
      </c>
      <c r="Y815" s="138">
        <f>Datasheet!Y909</f>
        <v>0.622</v>
      </c>
      <c r="Z815" s="138">
        <f>Datasheet!Z909</f>
        <v>0.621</v>
      </c>
      <c r="AA815" s="138">
        <f>Datasheet!AA909</f>
        <v>0.60799999999999998</v>
      </c>
      <c r="AB815" s="138">
        <f>Datasheet!AB909</f>
        <v>0</v>
      </c>
      <c r="AC815" s="138">
        <f>Datasheet!AC909</f>
        <v>0</v>
      </c>
      <c r="AD815" s="138">
        <f>Datasheet!AD909</f>
        <v>0</v>
      </c>
      <c r="AE815" s="138">
        <f>Datasheet!AE909</f>
        <v>0</v>
      </c>
      <c r="AF815" s="138">
        <f>Datasheet!AF909</f>
        <v>0</v>
      </c>
      <c r="AG815" s="138">
        <f>Datasheet!AG909</f>
        <v>0</v>
      </c>
      <c r="AH815" s="138">
        <f>Datasheet!AH909</f>
        <v>0</v>
      </c>
      <c r="AI815" s="138">
        <f>Datasheet!AI909</f>
        <v>0</v>
      </c>
      <c r="AJ815" s="138">
        <f>Datasheet!AJ909</f>
        <v>0</v>
      </c>
      <c r="AK815" s="138">
        <f>Datasheet!AK909</f>
        <v>0</v>
      </c>
    </row>
    <row r="816" spans="2:37" x14ac:dyDescent="0.25">
      <c r="C816" s="2" t="s">
        <v>317</v>
      </c>
      <c r="H816" s="9" t="s">
        <v>1320</v>
      </c>
      <c r="I816" s="138"/>
      <c r="J816" s="138"/>
      <c r="K816" s="138"/>
      <c r="L816" s="138"/>
      <c r="M816" s="138"/>
      <c r="N816" s="138">
        <f>Datasheet!N912</f>
        <v>0.246</v>
      </c>
      <c r="O816" s="138">
        <f>Datasheet!O912</f>
        <v>0.217</v>
      </c>
      <c r="P816" s="138">
        <f>Datasheet!P912</f>
        <v>0.157</v>
      </c>
      <c r="Q816" s="138">
        <f>Datasheet!Q912</f>
        <v>0.156</v>
      </c>
      <c r="R816" s="138">
        <f>Datasheet!R912</f>
        <v>0.13</v>
      </c>
      <c r="S816" s="138">
        <f>Datasheet!S912</f>
        <v>0.18</v>
      </c>
      <c r="T816" s="138">
        <f>Datasheet!T912</f>
        <v>0.16</v>
      </c>
      <c r="U816" s="138">
        <f>Datasheet!U912</f>
        <v>0.11</v>
      </c>
      <c r="V816" s="138">
        <f>Datasheet!V912</f>
        <v>0.154</v>
      </c>
      <c r="W816" s="138">
        <f>Datasheet!W912</f>
        <v>0.14299999999999999</v>
      </c>
      <c r="X816" s="138">
        <f>Datasheet!X912</f>
        <v>0.127</v>
      </c>
      <c r="Y816" s="138">
        <f>Datasheet!Y912</f>
        <v>0.16400000000000001</v>
      </c>
      <c r="Z816" s="138">
        <f>Datasheet!Z912</f>
        <v>0.185</v>
      </c>
      <c r="AA816" s="138">
        <f>Datasheet!AA912</f>
        <v>4.1000000000000002E-2</v>
      </c>
      <c r="AB816" s="138">
        <f>Datasheet!AB912</f>
        <v>0</v>
      </c>
      <c r="AC816" s="138">
        <f>Datasheet!AC912</f>
        <v>0</v>
      </c>
      <c r="AD816" s="138">
        <f>Datasheet!AD912</f>
        <v>0</v>
      </c>
      <c r="AE816" s="138">
        <f>Datasheet!AE912</f>
        <v>0</v>
      </c>
      <c r="AF816" s="138">
        <f>Datasheet!AF912</f>
        <v>0</v>
      </c>
      <c r="AG816" s="138">
        <f>Datasheet!AG912</f>
        <v>0</v>
      </c>
      <c r="AH816" s="138">
        <f>Datasheet!AH912</f>
        <v>0</v>
      </c>
      <c r="AI816" s="138">
        <f>Datasheet!AI912</f>
        <v>0</v>
      </c>
      <c r="AJ816" s="138">
        <f>Datasheet!AJ912</f>
        <v>0</v>
      </c>
      <c r="AK816" s="138">
        <f>Datasheet!AK912</f>
        <v>0</v>
      </c>
    </row>
    <row r="817" spans="1:37" x14ac:dyDescent="0.25">
      <c r="C817" s="2" t="s">
        <v>320</v>
      </c>
      <c r="H817" s="9" t="s">
        <v>1320</v>
      </c>
      <c r="I817" s="138"/>
      <c r="J817" s="138"/>
      <c r="K817" s="138"/>
      <c r="L817" s="138"/>
      <c r="M817" s="138"/>
      <c r="N817" s="138">
        <f>Datasheet!N915</f>
        <v>0.95399999999999996</v>
      </c>
      <c r="O817" s="138">
        <f>Datasheet!O915</f>
        <v>0.86599999999999999</v>
      </c>
      <c r="P817" s="138">
        <f>Datasheet!P915</f>
        <v>0.83</v>
      </c>
      <c r="Q817" s="138">
        <f>Datasheet!Q915</f>
        <v>0.88500000000000001</v>
      </c>
      <c r="R817" s="138">
        <f>Datasheet!R915</f>
        <v>0.88500000000000001</v>
      </c>
      <c r="S817" s="138">
        <f>Datasheet!S915</f>
        <v>0.87</v>
      </c>
      <c r="T817" s="138">
        <f>Datasheet!T915</f>
        <v>0.82</v>
      </c>
      <c r="U817" s="138">
        <f>Datasheet!U915</f>
        <v>0.88</v>
      </c>
      <c r="V817" s="138">
        <f>Datasheet!V915</f>
        <v>0.9</v>
      </c>
      <c r="W817" s="138">
        <f>Datasheet!W915</f>
        <v>0.92300000000000004</v>
      </c>
      <c r="X817" s="138">
        <f>Datasheet!X915</f>
        <v>0.86899999999999999</v>
      </c>
      <c r="Y817" s="138">
        <f>Datasheet!Y915</f>
        <v>0.877</v>
      </c>
      <c r="Z817" s="138">
        <f>Datasheet!Z915</f>
        <v>0.84099999999999997</v>
      </c>
      <c r="AA817" s="138">
        <f>Datasheet!AA915</f>
        <v>0.70699999999999996</v>
      </c>
      <c r="AB817" s="138">
        <f>Datasheet!AB915</f>
        <v>0</v>
      </c>
      <c r="AC817" s="138">
        <f>Datasheet!AC915</f>
        <v>0</v>
      </c>
      <c r="AD817" s="138">
        <f>Datasheet!AD915</f>
        <v>0</v>
      </c>
      <c r="AE817" s="138">
        <f>Datasheet!AE915</f>
        <v>0</v>
      </c>
      <c r="AF817" s="138">
        <f>Datasheet!AF915</f>
        <v>0</v>
      </c>
      <c r="AG817" s="138">
        <f>Datasheet!AG915</f>
        <v>0</v>
      </c>
      <c r="AH817" s="138">
        <f>Datasheet!AH915</f>
        <v>0</v>
      </c>
      <c r="AI817" s="138">
        <f>Datasheet!AI915</f>
        <v>0</v>
      </c>
      <c r="AJ817" s="138">
        <f>Datasheet!AJ915</f>
        <v>0</v>
      </c>
      <c r="AK817" s="138">
        <f>Datasheet!AK915</f>
        <v>0</v>
      </c>
    </row>
    <row r="818" spans="1:37" x14ac:dyDescent="0.25">
      <c r="C818" s="2" t="s">
        <v>323</v>
      </c>
      <c r="H818" s="9" t="s">
        <v>1320</v>
      </c>
      <c r="I818" s="138"/>
      <c r="J818" s="138"/>
      <c r="K818" s="138"/>
      <c r="L818" s="138"/>
      <c r="M818" s="138"/>
      <c r="N818" s="138">
        <f>Datasheet!N918</f>
        <v>0.501</v>
      </c>
      <c r="O818" s="138">
        <f>Datasheet!O918</f>
        <v>0.4</v>
      </c>
      <c r="P818" s="138">
        <f>Datasheet!P918</f>
        <v>0.32100000000000001</v>
      </c>
      <c r="Q818" s="138">
        <f>Datasheet!Q918</f>
        <v>0.37</v>
      </c>
      <c r="R818" s="138">
        <f>Datasheet!R918</f>
        <v>0.34499999999999997</v>
      </c>
      <c r="S818" s="138">
        <f>Datasheet!S918</f>
        <v>0.36</v>
      </c>
      <c r="T818" s="138">
        <f>Datasheet!T918</f>
        <v>0.31</v>
      </c>
      <c r="U818" s="138">
        <f>Datasheet!U918</f>
        <v>0.41</v>
      </c>
      <c r="V818" s="138">
        <f>Datasheet!V918</f>
        <v>0.40600000000000003</v>
      </c>
      <c r="W818" s="138">
        <f>Datasheet!W918</f>
        <v>0.432</v>
      </c>
      <c r="X818" s="138">
        <f>Datasheet!X918</f>
        <v>0.45500000000000002</v>
      </c>
      <c r="Y818" s="138">
        <f>Datasheet!Y918</f>
        <v>0.45300000000000001</v>
      </c>
      <c r="Z818" s="138">
        <f>Datasheet!Z918</f>
        <v>0.47399999999999998</v>
      </c>
      <c r="AA818" s="138">
        <f>Datasheet!AA918</f>
        <v>0.64700000000000002</v>
      </c>
      <c r="AB818" s="138">
        <f>Datasheet!AB918</f>
        <v>0</v>
      </c>
      <c r="AC818" s="138">
        <f>Datasheet!AC918</f>
        <v>0</v>
      </c>
      <c r="AD818" s="138">
        <f>Datasheet!AD918</f>
        <v>0</v>
      </c>
      <c r="AE818" s="138">
        <f>Datasheet!AE918</f>
        <v>0</v>
      </c>
      <c r="AF818" s="138">
        <f>Datasheet!AF918</f>
        <v>0</v>
      </c>
      <c r="AG818" s="138">
        <f>Datasheet!AG918</f>
        <v>0</v>
      </c>
      <c r="AH818" s="138">
        <f>Datasheet!AH918</f>
        <v>0</v>
      </c>
      <c r="AI818" s="138">
        <f>Datasheet!AI918</f>
        <v>0</v>
      </c>
      <c r="AJ818" s="138">
        <f>Datasheet!AJ918</f>
        <v>0</v>
      </c>
      <c r="AK818" s="138">
        <f>Datasheet!AK918</f>
        <v>0</v>
      </c>
    </row>
    <row r="819" spans="1:37" s="92" customFormat="1" x14ac:dyDescent="0.25"/>
    <row r="820" spans="1:37" s="98" customFormat="1" ht="17.25" x14ac:dyDescent="0.3">
      <c r="A820" s="98" t="s">
        <v>410</v>
      </c>
    </row>
    <row r="821" spans="1:37" x14ac:dyDescent="0.25">
      <c r="B821" s="64" t="s">
        <v>33</v>
      </c>
      <c r="C821" t="s">
        <v>336</v>
      </c>
    </row>
    <row r="822" spans="1:37" x14ac:dyDescent="0.25">
      <c r="B822" s="64" t="s">
        <v>626</v>
      </c>
      <c r="C822" t="s">
        <v>857</v>
      </c>
    </row>
    <row r="823" spans="1:37" x14ac:dyDescent="0.25">
      <c r="B823" s="64" t="s">
        <v>420</v>
      </c>
      <c r="C823" t="s">
        <v>859</v>
      </c>
    </row>
    <row r="824" spans="1:37" x14ac:dyDescent="0.25">
      <c r="B824" s="64" t="s">
        <v>429</v>
      </c>
      <c r="C824" s="195" t="s">
        <v>273</v>
      </c>
    </row>
    <row r="825" spans="1:37" x14ac:dyDescent="0.25">
      <c r="B825" s="64" t="s">
        <v>421</v>
      </c>
      <c r="C825" t="s">
        <v>860</v>
      </c>
    </row>
    <row r="826" spans="1:37" x14ac:dyDescent="0.25">
      <c r="B826" s="64" t="s">
        <v>425</v>
      </c>
    </row>
    <row r="827" spans="1:37" x14ac:dyDescent="0.25">
      <c r="B827" s="64" t="s">
        <v>333</v>
      </c>
      <c r="C827" t="s">
        <v>861</v>
      </c>
    </row>
    <row r="828" spans="1:37" x14ac:dyDescent="0.25">
      <c r="B828" s="64" t="s">
        <v>334</v>
      </c>
      <c r="C828" t="s">
        <v>1615</v>
      </c>
    </row>
    <row r="829" spans="1:37" s="121" customFormat="1" ht="15.75" thickBot="1" x14ac:dyDescent="0.3">
      <c r="B829" s="130"/>
      <c r="C829" s="121" t="s">
        <v>862</v>
      </c>
    </row>
    <row r="830" spans="1:37" ht="15.75" thickTop="1" x14ac:dyDescent="0.25">
      <c r="C830" s="173"/>
      <c r="D830" s="85"/>
      <c r="E830" s="85"/>
      <c r="F830" s="85"/>
      <c r="G830" s="85"/>
      <c r="H830" s="85"/>
      <c r="I830" s="85"/>
      <c r="J830" s="85"/>
      <c r="K830" s="85"/>
      <c r="L830" s="85"/>
      <c r="M830" s="85"/>
      <c r="N830" s="85"/>
      <c r="O830" s="85"/>
      <c r="P830" s="85"/>
      <c r="Q830" s="85"/>
      <c r="R830" s="85"/>
      <c r="S830" s="85"/>
      <c r="T830" s="85"/>
      <c r="U830" s="85"/>
      <c r="V830" s="85"/>
      <c r="W830" s="85"/>
      <c r="X830" s="85"/>
      <c r="Y830" s="85"/>
      <c r="Z830" s="85"/>
      <c r="AA830" s="85"/>
      <c r="AB830" s="85"/>
      <c r="AC830" s="85"/>
      <c r="AD830" s="85"/>
      <c r="AE830" s="85"/>
      <c r="AF830" s="85"/>
      <c r="AG830" s="85"/>
      <c r="AH830" s="85"/>
      <c r="AI830" s="85"/>
      <c r="AJ830" s="85"/>
      <c r="AK830" s="85"/>
    </row>
    <row r="831" spans="1:37" x14ac:dyDescent="0.25">
      <c r="C831" s="173"/>
      <c r="D831" s="85"/>
      <c r="E831" s="85"/>
      <c r="F831" s="85"/>
      <c r="G831" s="85"/>
      <c r="H831" s="85"/>
      <c r="I831" s="85"/>
      <c r="J831" s="85"/>
      <c r="K831" s="85"/>
      <c r="L831" s="85"/>
      <c r="M831" s="85"/>
      <c r="N831" s="85"/>
      <c r="O831" s="85"/>
      <c r="P831" s="85"/>
      <c r="Q831" s="85"/>
      <c r="R831" s="85"/>
      <c r="S831" s="85"/>
      <c r="T831" s="85"/>
      <c r="U831" s="85"/>
      <c r="V831" s="85"/>
      <c r="W831" s="85"/>
      <c r="X831" s="85"/>
      <c r="Y831" s="85"/>
      <c r="Z831" s="85"/>
      <c r="AA831" s="85"/>
      <c r="AB831" s="85"/>
      <c r="AC831" s="85"/>
      <c r="AD831" s="85"/>
      <c r="AE831" s="85"/>
      <c r="AF831" s="85"/>
      <c r="AG831" s="85"/>
      <c r="AH831" s="85"/>
      <c r="AI831" s="85"/>
      <c r="AJ831" s="85"/>
      <c r="AK831" s="85"/>
    </row>
    <row r="832" spans="1:37" x14ac:dyDescent="0.25">
      <c r="C832" s="173"/>
      <c r="D832" s="85"/>
      <c r="E832" s="85"/>
      <c r="F832" s="85"/>
      <c r="G832" s="85"/>
      <c r="H832" s="85"/>
      <c r="I832" s="85"/>
      <c r="J832" s="85"/>
      <c r="K832" s="85"/>
      <c r="L832" s="85"/>
      <c r="M832" s="85"/>
      <c r="N832" s="85"/>
      <c r="O832" s="85"/>
      <c r="P832" s="85"/>
      <c r="Q832" s="85"/>
      <c r="R832" s="85"/>
      <c r="S832" s="85"/>
      <c r="T832" s="85"/>
      <c r="U832" s="85"/>
      <c r="V832" s="85"/>
      <c r="W832" s="85"/>
      <c r="X832" s="85"/>
      <c r="Y832" s="85"/>
      <c r="Z832" s="85"/>
      <c r="AA832" s="85"/>
      <c r="AB832" s="85"/>
      <c r="AC832" s="85"/>
      <c r="AD832" s="85"/>
      <c r="AE832" s="85"/>
      <c r="AF832" s="85"/>
      <c r="AG832" s="85"/>
      <c r="AH832" s="85"/>
      <c r="AI832" s="85"/>
      <c r="AJ832" s="85"/>
      <c r="AK832" s="85"/>
    </row>
    <row r="833" spans="2:37" x14ac:dyDescent="0.25">
      <c r="C833" s="173"/>
      <c r="D833" s="85"/>
      <c r="E833" s="85"/>
      <c r="F833" s="85"/>
      <c r="G833" s="85"/>
      <c r="H833" s="85"/>
      <c r="I833" s="85"/>
      <c r="J833" s="85"/>
      <c r="K833" s="85"/>
      <c r="L833" s="85"/>
      <c r="M833" s="85"/>
      <c r="N833" s="85"/>
      <c r="O833" s="85"/>
      <c r="P833" s="85"/>
      <c r="Q833" s="85"/>
      <c r="R833" s="85"/>
      <c r="S833" s="85"/>
      <c r="T833" s="85"/>
      <c r="U833" s="85"/>
      <c r="V833" s="85"/>
      <c r="W833" s="85"/>
      <c r="X833" s="85"/>
      <c r="Y833" s="85"/>
      <c r="Z833" s="85"/>
      <c r="AA833" s="85"/>
      <c r="AB833" s="85"/>
      <c r="AC833" s="85"/>
      <c r="AD833" s="85"/>
      <c r="AE833" s="85"/>
      <c r="AF833" s="85"/>
      <c r="AG833" s="85"/>
      <c r="AH833" s="85"/>
      <c r="AI833" s="85"/>
      <c r="AJ833" s="85"/>
      <c r="AK833" s="85"/>
    </row>
    <row r="834" spans="2:37" x14ac:dyDescent="0.25">
      <c r="C834" s="173"/>
      <c r="D834" s="85"/>
      <c r="E834" s="85"/>
      <c r="F834" s="85"/>
      <c r="G834" s="85"/>
      <c r="H834" s="85"/>
      <c r="I834" s="85"/>
      <c r="J834" s="85"/>
      <c r="K834" s="85"/>
      <c r="L834" s="85"/>
      <c r="M834" s="85"/>
      <c r="N834" s="85"/>
      <c r="O834" s="85"/>
      <c r="P834" s="85"/>
      <c r="Q834" s="85"/>
      <c r="R834" s="85"/>
      <c r="S834" s="85"/>
      <c r="T834" s="85"/>
      <c r="U834" s="85"/>
      <c r="V834" s="85"/>
      <c r="W834" s="85"/>
      <c r="X834" s="85"/>
      <c r="Y834" s="85"/>
      <c r="Z834" s="85"/>
      <c r="AA834" s="85"/>
      <c r="AB834" s="85"/>
      <c r="AC834" s="85"/>
      <c r="AD834" s="85"/>
      <c r="AE834" s="85"/>
      <c r="AF834" s="85"/>
      <c r="AG834" s="85"/>
      <c r="AH834" s="85"/>
      <c r="AI834" s="85"/>
      <c r="AJ834" s="85"/>
      <c r="AK834" s="85"/>
    </row>
    <row r="835" spans="2:37" x14ac:dyDescent="0.25">
      <c r="C835" s="173"/>
      <c r="D835" s="85"/>
      <c r="E835" s="85"/>
      <c r="F835" s="85"/>
      <c r="G835" s="85"/>
      <c r="H835" s="85"/>
      <c r="I835" s="85"/>
      <c r="J835" s="85"/>
      <c r="K835" s="85"/>
      <c r="L835" s="85"/>
      <c r="M835" s="85"/>
      <c r="N835" s="85"/>
      <c r="O835" s="85"/>
      <c r="P835" s="85"/>
      <c r="Q835" s="85"/>
      <c r="R835" s="85"/>
      <c r="S835" s="85"/>
      <c r="T835" s="85"/>
      <c r="U835" s="85"/>
      <c r="V835" s="85"/>
      <c r="W835" s="85"/>
      <c r="X835" s="85"/>
      <c r="Y835" s="85"/>
      <c r="Z835" s="85"/>
      <c r="AA835" s="85"/>
      <c r="AB835" s="85"/>
      <c r="AC835" s="85"/>
      <c r="AD835" s="85"/>
      <c r="AE835" s="85"/>
      <c r="AF835" s="85"/>
      <c r="AG835" s="85"/>
      <c r="AH835" s="85"/>
      <c r="AI835" s="85"/>
      <c r="AJ835" s="85"/>
      <c r="AK835" s="85"/>
    </row>
    <row r="836" spans="2:37" x14ac:dyDescent="0.25">
      <c r="C836" s="173"/>
      <c r="D836" s="85"/>
      <c r="E836" s="85"/>
      <c r="F836" s="85"/>
      <c r="G836" s="85"/>
      <c r="H836" s="85"/>
      <c r="I836" s="85"/>
      <c r="J836" s="85"/>
      <c r="K836" s="85"/>
      <c r="L836" s="85"/>
      <c r="M836" s="85"/>
      <c r="N836" s="85"/>
      <c r="O836" s="85"/>
      <c r="P836" s="85"/>
      <c r="Q836" s="85"/>
      <c r="R836" s="85"/>
      <c r="S836" s="85"/>
      <c r="T836" s="85"/>
      <c r="U836" s="85"/>
      <c r="V836" s="85"/>
      <c r="W836" s="85"/>
      <c r="X836" s="85"/>
      <c r="Y836" s="85"/>
      <c r="Z836" s="85"/>
      <c r="AA836" s="85"/>
      <c r="AB836" s="85"/>
      <c r="AC836" s="85"/>
      <c r="AD836" s="85"/>
      <c r="AE836" s="85"/>
      <c r="AF836" s="85"/>
      <c r="AG836" s="85"/>
      <c r="AH836" s="85"/>
      <c r="AI836" s="85"/>
      <c r="AJ836" s="85"/>
      <c r="AK836" s="85"/>
    </row>
    <row r="837" spans="2:37" x14ac:dyDescent="0.25">
      <c r="C837" s="173"/>
      <c r="D837" s="85"/>
      <c r="E837" s="85"/>
      <c r="F837" s="85"/>
      <c r="G837" s="85"/>
      <c r="H837" s="85"/>
      <c r="I837" s="85"/>
      <c r="J837" s="85"/>
      <c r="K837" s="85"/>
      <c r="L837" s="85"/>
      <c r="M837" s="85"/>
      <c r="N837" s="85"/>
      <c r="O837" s="85"/>
      <c r="P837" s="85"/>
      <c r="Q837" s="85"/>
      <c r="R837" s="85"/>
      <c r="S837" s="85"/>
      <c r="T837" s="85"/>
      <c r="U837" s="85"/>
      <c r="V837" s="85"/>
      <c r="W837" s="85"/>
      <c r="X837" s="85"/>
      <c r="Y837" s="85"/>
      <c r="Z837" s="85"/>
      <c r="AA837" s="85"/>
      <c r="AB837" s="85"/>
      <c r="AC837" s="85"/>
      <c r="AD837" s="85"/>
      <c r="AE837" s="85"/>
      <c r="AF837" s="85"/>
      <c r="AG837" s="85"/>
      <c r="AH837" s="85"/>
      <c r="AI837" s="85"/>
      <c r="AJ837" s="85"/>
      <c r="AK837" s="85"/>
    </row>
    <row r="838" spans="2:37" x14ac:dyDescent="0.25">
      <c r="C838" s="173"/>
      <c r="D838" s="85"/>
      <c r="E838" s="85"/>
      <c r="F838" s="85"/>
      <c r="G838" s="85"/>
      <c r="H838" s="85"/>
      <c r="I838" s="85"/>
      <c r="J838" s="85"/>
      <c r="K838" s="85"/>
      <c r="L838" s="85"/>
      <c r="M838" s="85"/>
      <c r="N838" s="85"/>
      <c r="O838" s="85"/>
      <c r="P838" s="85"/>
      <c r="Q838" s="85"/>
      <c r="R838" s="85"/>
      <c r="S838" s="85"/>
      <c r="T838" s="85"/>
      <c r="U838" s="85"/>
      <c r="V838" s="85"/>
      <c r="W838" s="85"/>
      <c r="X838" s="85"/>
      <c r="Y838" s="85"/>
      <c r="Z838" s="85"/>
      <c r="AA838" s="85"/>
      <c r="AB838" s="85"/>
      <c r="AC838" s="85"/>
      <c r="AD838" s="85"/>
      <c r="AE838" s="85"/>
      <c r="AF838" s="85"/>
      <c r="AG838" s="85"/>
      <c r="AH838" s="85"/>
      <c r="AI838" s="85"/>
      <c r="AJ838" s="85"/>
      <c r="AK838" s="85"/>
    </row>
    <row r="839" spans="2:37" x14ac:dyDescent="0.25">
      <c r="C839" s="173"/>
      <c r="D839" s="85"/>
      <c r="E839" s="85"/>
      <c r="F839" s="85"/>
      <c r="G839" s="85"/>
      <c r="H839" s="85"/>
      <c r="I839" s="85"/>
      <c r="J839" s="85"/>
      <c r="K839" s="85"/>
      <c r="L839" s="85"/>
      <c r="M839" s="85"/>
      <c r="N839" s="85"/>
      <c r="O839" s="85"/>
      <c r="P839" s="85"/>
      <c r="Q839" s="85"/>
      <c r="R839" s="85"/>
      <c r="S839" s="85"/>
      <c r="T839" s="85"/>
      <c r="U839" s="85"/>
      <c r="V839" s="85"/>
      <c r="W839" s="85"/>
      <c r="X839" s="85"/>
      <c r="Y839" s="85"/>
      <c r="Z839" s="85"/>
      <c r="AA839" s="85"/>
      <c r="AB839" s="85"/>
      <c r="AC839" s="85"/>
      <c r="AD839" s="85"/>
      <c r="AE839" s="85"/>
      <c r="AF839" s="85"/>
      <c r="AG839" s="85"/>
      <c r="AH839" s="85"/>
      <c r="AI839" s="85"/>
      <c r="AJ839" s="85"/>
      <c r="AK839" s="85"/>
    </row>
    <row r="840" spans="2:37" x14ac:dyDescent="0.25">
      <c r="C840" s="173"/>
      <c r="D840" s="85"/>
      <c r="E840" s="85"/>
      <c r="F840" s="85"/>
      <c r="G840" s="85"/>
      <c r="H840" s="85"/>
      <c r="I840" s="85"/>
      <c r="J840" s="85"/>
      <c r="K840" s="85"/>
      <c r="L840" s="85"/>
      <c r="M840" s="85"/>
      <c r="N840" s="85"/>
      <c r="O840" s="85"/>
      <c r="P840" s="85"/>
      <c r="Q840" s="85"/>
      <c r="R840" s="85"/>
      <c r="S840" s="85"/>
      <c r="T840" s="85"/>
      <c r="U840" s="85"/>
      <c r="V840" s="85"/>
      <c r="W840" s="85"/>
      <c r="X840" s="85"/>
      <c r="Y840" s="85"/>
      <c r="Z840" s="85"/>
      <c r="AA840" s="85"/>
      <c r="AB840" s="85"/>
      <c r="AC840" s="85"/>
      <c r="AD840" s="85"/>
      <c r="AE840" s="85"/>
      <c r="AF840" s="85"/>
      <c r="AG840" s="85"/>
      <c r="AH840" s="85"/>
      <c r="AI840" s="85"/>
      <c r="AJ840" s="85"/>
      <c r="AK840" s="85"/>
    </row>
    <row r="841" spans="2:37" x14ac:dyDescent="0.25">
      <c r="C841" s="173"/>
      <c r="D841" s="85"/>
      <c r="E841" s="85"/>
      <c r="F841" s="85"/>
      <c r="G841" s="85"/>
      <c r="H841" s="85"/>
      <c r="I841" s="85"/>
      <c r="J841" s="85"/>
      <c r="K841" s="85"/>
      <c r="L841" s="85"/>
      <c r="M841" s="85"/>
      <c r="N841" s="85"/>
      <c r="O841" s="85"/>
      <c r="P841" s="85"/>
      <c r="Q841" s="85"/>
      <c r="R841" s="85"/>
      <c r="S841" s="85"/>
      <c r="T841" s="85"/>
      <c r="U841" s="85"/>
      <c r="V841" s="85"/>
      <c r="W841" s="85"/>
      <c r="X841" s="85"/>
      <c r="Y841" s="85"/>
      <c r="Z841" s="85"/>
      <c r="AA841" s="85"/>
      <c r="AB841" s="85"/>
      <c r="AC841" s="85"/>
      <c r="AD841" s="85"/>
      <c r="AE841" s="85"/>
      <c r="AF841" s="85"/>
      <c r="AG841" s="85"/>
      <c r="AH841" s="85"/>
      <c r="AI841" s="85"/>
      <c r="AJ841" s="85"/>
      <c r="AK841" s="85"/>
    </row>
    <row r="842" spans="2:37" x14ac:dyDescent="0.25">
      <c r="C842" s="173"/>
      <c r="D842" s="85"/>
      <c r="E842" s="85"/>
      <c r="F842" s="85"/>
      <c r="G842" s="85"/>
      <c r="H842" s="85"/>
      <c r="I842" s="85"/>
      <c r="J842" s="85"/>
      <c r="K842" s="85"/>
      <c r="L842" s="85"/>
      <c r="M842" s="85"/>
      <c r="N842" s="85"/>
      <c r="O842" s="85"/>
      <c r="P842" s="85"/>
      <c r="Q842" s="85"/>
      <c r="R842" s="85"/>
      <c r="S842" s="85"/>
      <c r="T842" s="85"/>
      <c r="U842" s="85"/>
      <c r="V842" s="85"/>
      <c r="W842" s="85"/>
      <c r="X842" s="85"/>
      <c r="Y842" s="85"/>
      <c r="Z842" s="85"/>
      <c r="AA842" s="85"/>
      <c r="AB842" s="85"/>
      <c r="AC842" s="85"/>
      <c r="AD842" s="85"/>
      <c r="AE842" s="85"/>
      <c r="AF842" s="85"/>
      <c r="AG842" s="85"/>
      <c r="AH842" s="85"/>
      <c r="AI842" s="85"/>
      <c r="AJ842" s="85"/>
      <c r="AK842" s="85"/>
    </row>
    <row r="843" spans="2:37" x14ac:dyDescent="0.25">
      <c r="C843" s="173"/>
      <c r="D843" s="85"/>
      <c r="E843" s="85"/>
      <c r="F843" s="85"/>
      <c r="G843" s="85"/>
      <c r="H843" s="85"/>
      <c r="I843" s="85"/>
      <c r="J843" s="85"/>
      <c r="K843" s="85"/>
      <c r="L843" s="85"/>
      <c r="M843" s="85"/>
      <c r="N843" s="85"/>
      <c r="O843" s="85"/>
      <c r="P843" s="85"/>
      <c r="Q843" s="85"/>
      <c r="R843" s="85"/>
      <c r="S843" s="85"/>
      <c r="T843" s="85"/>
      <c r="U843" s="85"/>
      <c r="V843" s="85"/>
      <c r="W843" s="85"/>
      <c r="X843" s="85"/>
      <c r="Y843" s="85"/>
      <c r="Z843" s="85"/>
      <c r="AA843" s="85"/>
      <c r="AB843" s="85"/>
      <c r="AC843" s="85"/>
      <c r="AD843" s="85"/>
      <c r="AE843" s="85"/>
      <c r="AF843" s="85"/>
      <c r="AG843" s="85"/>
      <c r="AH843" s="85"/>
      <c r="AI843" s="85"/>
      <c r="AJ843" s="85"/>
      <c r="AK843" s="85"/>
    </row>
    <row r="845" spans="2:37" s="9" customFormat="1" x14ac:dyDescent="0.25">
      <c r="B845" s="66" t="s">
        <v>34</v>
      </c>
      <c r="C845" s="51"/>
      <c r="I845" s="97"/>
      <c r="J845" s="97"/>
      <c r="K845" s="97"/>
      <c r="L845" s="97"/>
      <c r="M845" s="97"/>
      <c r="N845" s="97"/>
      <c r="O845" s="97"/>
      <c r="P845" s="97"/>
      <c r="Q845" s="97"/>
      <c r="R845" s="97"/>
      <c r="S845" s="97"/>
      <c r="T845" s="97"/>
      <c r="U845" s="97"/>
      <c r="V845" s="97"/>
      <c r="W845" s="97"/>
      <c r="X845" s="97"/>
      <c r="Y845" s="97"/>
      <c r="Z845" s="97"/>
      <c r="AA845" s="97"/>
      <c r="AB845" s="97"/>
      <c r="AC845" s="97"/>
      <c r="AD845" s="97"/>
      <c r="AE845" s="97"/>
      <c r="AF845" s="97"/>
      <c r="AG845" s="97"/>
      <c r="AH845" s="97"/>
      <c r="AI845" s="97"/>
      <c r="AJ845" s="97"/>
      <c r="AK845" s="97"/>
    </row>
    <row r="846" spans="2:37" s="9" customFormat="1" x14ac:dyDescent="0.25">
      <c r="B846" s="66"/>
      <c r="C846" s="85" t="str">
        <f>Datasheet!E247</f>
        <v>Farm employment</v>
      </c>
      <c r="D846" s="85"/>
      <c r="E846"/>
      <c r="F846" s="85"/>
      <c r="G846" s="85"/>
      <c r="H846" s="85" t="s">
        <v>1118</v>
      </c>
      <c r="I846" s="85">
        <f>Datasheet!I247</f>
        <v>159</v>
      </c>
      <c r="J846" s="85">
        <f>Datasheet!J247</f>
        <v>153</v>
      </c>
      <c r="K846" s="85">
        <f>Datasheet!K247</f>
        <v>155</v>
      </c>
      <c r="L846" s="85">
        <f>Datasheet!L247</f>
        <v>156</v>
      </c>
      <c r="M846" s="85">
        <f>Datasheet!M247</f>
        <v>156</v>
      </c>
      <c r="N846" s="85">
        <f>Datasheet!N247</f>
        <v>178</v>
      </c>
      <c r="O846" s="85">
        <f>Datasheet!O247</f>
        <v>181</v>
      </c>
      <c r="P846" s="85">
        <f>Datasheet!P247</f>
        <v>177</v>
      </c>
      <c r="Q846" s="85">
        <f>Datasheet!Q247</f>
        <v>181</v>
      </c>
      <c r="R846" s="85">
        <f>Datasheet!R247</f>
        <v>190</v>
      </c>
      <c r="S846" s="85">
        <f>Datasheet!S247</f>
        <v>193</v>
      </c>
      <c r="T846" s="85">
        <f>Datasheet!T247</f>
        <v>195</v>
      </c>
      <c r="U846" s="85">
        <f>Datasheet!U247</f>
        <v>200</v>
      </c>
      <c r="V846" s="85">
        <f>Datasheet!V247</f>
        <v>212</v>
      </c>
      <c r="W846" s="85">
        <f>Datasheet!W247</f>
        <v>218</v>
      </c>
      <c r="X846" s="85">
        <f>Datasheet!X247</f>
        <v>225</v>
      </c>
      <c r="Y846" s="85">
        <f>Datasheet!Y247</f>
        <v>217</v>
      </c>
      <c r="Z846" s="85">
        <f>Datasheet!Z247</f>
        <v>222</v>
      </c>
      <c r="AA846" s="85">
        <f>Datasheet!AA247</f>
        <v>0</v>
      </c>
      <c r="AB846" s="85">
        <f>Datasheet!AB247</f>
        <v>0</v>
      </c>
      <c r="AC846" s="85">
        <f>Datasheet!AC247</f>
        <v>0</v>
      </c>
      <c r="AD846" s="85">
        <f>Datasheet!AD247</f>
        <v>0</v>
      </c>
      <c r="AE846" s="85">
        <f>Datasheet!AE247</f>
        <v>0</v>
      </c>
      <c r="AF846" s="85">
        <f>Datasheet!AF247</f>
        <v>0</v>
      </c>
      <c r="AG846" s="85">
        <f>Datasheet!AG247</f>
        <v>0</v>
      </c>
      <c r="AH846" s="85">
        <f>Datasheet!AH247</f>
        <v>0</v>
      </c>
      <c r="AI846" s="85">
        <f>Datasheet!AI247</f>
        <v>0</v>
      </c>
      <c r="AJ846" s="85">
        <f>Datasheet!AJ247</f>
        <v>0</v>
      </c>
      <c r="AK846" s="85">
        <f>Datasheet!AK247</f>
        <v>0</v>
      </c>
    </row>
    <row r="847" spans="2:37" s="9" customFormat="1" x14ac:dyDescent="0.25">
      <c r="B847" s="66"/>
      <c r="C847" s="85" t="str">
        <f>Datasheet!G250</f>
        <v>Forestry, fishing, and related activities</v>
      </c>
      <c r="D847" s="85"/>
      <c r="E847"/>
      <c r="F847" s="85"/>
      <c r="G847" s="85"/>
      <c r="H847" s="85" t="s">
        <v>1118</v>
      </c>
      <c r="I847" s="85" t="str">
        <f>Datasheet!I250</f>
        <v>(D)</v>
      </c>
      <c r="J847" s="85" t="str">
        <f>Datasheet!J250</f>
        <v>(D)</v>
      </c>
      <c r="K847" s="85" t="str">
        <f>Datasheet!K250</f>
        <v>(D)</v>
      </c>
      <c r="L847" s="85">
        <f>Datasheet!L250</f>
        <v>106</v>
      </c>
      <c r="M847" s="85">
        <f>Datasheet!M250</f>
        <v>108</v>
      </c>
      <c r="N847" s="85" t="str">
        <f>Datasheet!N250</f>
        <v>(D)</v>
      </c>
      <c r="O847" s="85">
        <f>Datasheet!O250</f>
        <v>125</v>
      </c>
      <c r="P847" s="85">
        <f>Datasheet!P250</f>
        <v>129</v>
      </c>
      <c r="Q847" s="85">
        <f>Datasheet!Q250</f>
        <v>141</v>
      </c>
      <c r="R847" s="85" t="str">
        <f>Datasheet!R250</f>
        <v>(D)</v>
      </c>
      <c r="S847" s="85" t="str">
        <f>Datasheet!S250</f>
        <v>(D)</v>
      </c>
      <c r="T847" s="85">
        <f>Datasheet!T250</f>
        <v>157</v>
      </c>
      <c r="U847" s="85" t="str">
        <f>Datasheet!U250</f>
        <v>(D)</v>
      </c>
      <c r="V847" s="85">
        <f>Datasheet!V250</f>
        <v>127</v>
      </c>
      <c r="W847" s="85">
        <f>Datasheet!W250</f>
        <v>144</v>
      </c>
      <c r="X847" s="85">
        <f>Datasheet!X250</f>
        <v>144</v>
      </c>
      <c r="Y847" s="85">
        <f>Datasheet!Y250</f>
        <v>148</v>
      </c>
      <c r="Z847" s="85">
        <f>Datasheet!Z250</f>
        <v>159</v>
      </c>
      <c r="AA847" s="85">
        <f>Datasheet!AA250</f>
        <v>0</v>
      </c>
      <c r="AB847" s="85">
        <f>Datasheet!AB250</f>
        <v>0</v>
      </c>
      <c r="AC847" s="85">
        <f>Datasheet!AC250</f>
        <v>0</v>
      </c>
      <c r="AD847" s="85">
        <f>Datasheet!AD250</f>
        <v>0</v>
      </c>
      <c r="AE847" s="85">
        <f>Datasheet!AE250</f>
        <v>0</v>
      </c>
      <c r="AF847" s="85">
        <f>Datasheet!AF250</f>
        <v>0</v>
      </c>
      <c r="AG847" s="85">
        <f>Datasheet!AG250</f>
        <v>0</v>
      </c>
      <c r="AH847" s="85">
        <f>Datasheet!AH250</f>
        <v>0</v>
      </c>
      <c r="AI847" s="85">
        <f>Datasheet!AI250</f>
        <v>0</v>
      </c>
      <c r="AJ847" s="85">
        <f>Datasheet!AJ250</f>
        <v>0</v>
      </c>
      <c r="AK847" s="85">
        <f>Datasheet!AK250</f>
        <v>0</v>
      </c>
    </row>
    <row r="848" spans="2:37" s="9" customFormat="1" x14ac:dyDescent="0.25">
      <c r="B848" s="66"/>
      <c r="C848" s="85" t="str">
        <f>Datasheet!G251</f>
        <v>Mining</v>
      </c>
      <c r="D848" s="85"/>
      <c r="E848"/>
      <c r="F848" s="85"/>
      <c r="G848" s="85"/>
      <c r="H848" s="85" t="s">
        <v>1118</v>
      </c>
      <c r="I848" s="85" t="str">
        <f>Datasheet!I251</f>
        <v>(D)</v>
      </c>
      <c r="J848" s="85" t="str">
        <f>Datasheet!J251</f>
        <v>(D)</v>
      </c>
      <c r="K848" s="85" t="str">
        <f>Datasheet!K251</f>
        <v>(D)</v>
      </c>
      <c r="L848" s="85">
        <f>Datasheet!L251</f>
        <v>99</v>
      </c>
      <c r="M848" s="85">
        <f>Datasheet!M251</f>
        <v>154</v>
      </c>
      <c r="N848" s="85" t="str">
        <f>Datasheet!N251</f>
        <v>(D)</v>
      </c>
      <c r="O848" s="85">
        <f>Datasheet!O251</f>
        <v>220</v>
      </c>
      <c r="P848" s="85">
        <f>Datasheet!P251</f>
        <v>189</v>
      </c>
      <c r="Q848" s="85">
        <f>Datasheet!Q251</f>
        <v>223</v>
      </c>
      <c r="R848" s="85" t="str">
        <f>Datasheet!R251</f>
        <v>(D)</v>
      </c>
      <c r="S848" s="85" t="str">
        <f>Datasheet!S251</f>
        <v>(D)</v>
      </c>
      <c r="T848" s="85">
        <f>Datasheet!T251</f>
        <v>242</v>
      </c>
      <c r="U848" s="85" t="str">
        <f>Datasheet!U251</f>
        <v>(D)</v>
      </c>
      <c r="V848" s="85">
        <f>Datasheet!V251</f>
        <v>234</v>
      </c>
      <c r="W848" s="85">
        <f>Datasheet!W251</f>
        <v>197</v>
      </c>
      <c r="X848" s="85">
        <f>Datasheet!X251</f>
        <v>183</v>
      </c>
      <c r="Y848" s="85">
        <f>Datasheet!Y251</f>
        <v>149</v>
      </c>
      <c r="Z848" s="85">
        <f>Datasheet!Z251</f>
        <v>134</v>
      </c>
      <c r="AA848" s="85">
        <f>Datasheet!AA251</f>
        <v>0</v>
      </c>
      <c r="AB848" s="85">
        <f>Datasheet!AB251</f>
        <v>0</v>
      </c>
      <c r="AC848" s="85">
        <f>Datasheet!AC251</f>
        <v>0</v>
      </c>
      <c r="AD848" s="85">
        <f>Datasheet!AD251</f>
        <v>0</v>
      </c>
      <c r="AE848" s="85">
        <f>Datasheet!AE251</f>
        <v>0</v>
      </c>
      <c r="AF848" s="85">
        <f>Datasheet!AF251</f>
        <v>0</v>
      </c>
      <c r="AG848" s="85">
        <f>Datasheet!AG251</f>
        <v>0</v>
      </c>
      <c r="AH848" s="85">
        <f>Datasheet!AH251</f>
        <v>0</v>
      </c>
      <c r="AI848" s="85">
        <f>Datasheet!AI251</f>
        <v>0</v>
      </c>
      <c r="AJ848" s="85">
        <f>Datasheet!AJ251</f>
        <v>0</v>
      </c>
      <c r="AK848" s="85">
        <f>Datasheet!AK251</f>
        <v>0</v>
      </c>
    </row>
    <row r="849" spans="2:37" s="9" customFormat="1" x14ac:dyDescent="0.25">
      <c r="B849" s="66"/>
      <c r="C849" s="85" t="str">
        <f>Datasheet!G252</f>
        <v>Utilities</v>
      </c>
      <c r="D849" s="85"/>
      <c r="E849"/>
      <c r="F849" s="85"/>
      <c r="G849" s="85"/>
      <c r="H849" s="85" t="s">
        <v>1118</v>
      </c>
      <c r="I849" s="85" t="str">
        <f>Datasheet!I252</f>
        <v>(D)</v>
      </c>
      <c r="J849" s="85" t="str">
        <f>Datasheet!J252</f>
        <v>(D)</v>
      </c>
      <c r="K849" s="85" t="str">
        <f>Datasheet!K252</f>
        <v>(D)</v>
      </c>
      <c r="L849" s="85" t="str">
        <f>Datasheet!L252</f>
        <v>(D)</v>
      </c>
      <c r="M849" s="85" t="str">
        <f>Datasheet!M252</f>
        <v>(D)</v>
      </c>
      <c r="N849" s="85" t="str">
        <f>Datasheet!N252</f>
        <v>(D)</v>
      </c>
      <c r="O849" s="85" t="str">
        <f>Datasheet!O252</f>
        <v>(D)</v>
      </c>
      <c r="P849" s="85" t="str">
        <f>Datasheet!P252</f>
        <v>(D)</v>
      </c>
      <c r="Q849" s="85" t="str">
        <f>Datasheet!Q252</f>
        <v>(D)</v>
      </c>
      <c r="R849" s="85" t="str">
        <f>Datasheet!R252</f>
        <v>(D)</v>
      </c>
      <c r="S849" s="85" t="str">
        <f>Datasheet!S252</f>
        <v>(D)</v>
      </c>
      <c r="T849" s="85" t="str">
        <f>Datasheet!T252</f>
        <v>(D)</v>
      </c>
      <c r="U849" s="85" t="str">
        <f>Datasheet!U252</f>
        <v>(D)</v>
      </c>
      <c r="V849" s="85" t="str">
        <f>Datasheet!V252</f>
        <v>(D)</v>
      </c>
      <c r="W849" s="85" t="str">
        <f>Datasheet!W252</f>
        <v>(D)</v>
      </c>
      <c r="X849" s="85" t="str">
        <f>Datasheet!X252</f>
        <v>(D)</v>
      </c>
      <c r="Y849" s="85" t="str">
        <f>Datasheet!Y252</f>
        <v>(D)</v>
      </c>
      <c r="Z849" s="85" t="str">
        <f>Datasheet!Z252</f>
        <v>(D)</v>
      </c>
      <c r="AA849" s="85">
        <f>Datasheet!AA252</f>
        <v>0</v>
      </c>
      <c r="AB849" s="85">
        <f>Datasheet!AB252</f>
        <v>0</v>
      </c>
      <c r="AC849" s="85">
        <f>Datasheet!AC252</f>
        <v>0</v>
      </c>
      <c r="AD849" s="85">
        <f>Datasheet!AD252</f>
        <v>0</v>
      </c>
      <c r="AE849" s="85">
        <f>Datasheet!AE252</f>
        <v>0</v>
      </c>
      <c r="AF849" s="85">
        <f>Datasheet!AF252</f>
        <v>0</v>
      </c>
      <c r="AG849" s="85">
        <f>Datasheet!AG252</f>
        <v>0</v>
      </c>
      <c r="AH849" s="85">
        <f>Datasheet!AH252</f>
        <v>0</v>
      </c>
      <c r="AI849" s="85">
        <f>Datasheet!AI252</f>
        <v>0</v>
      </c>
      <c r="AJ849" s="85">
        <f>Datasheet!AJ252</f>
        <v>0</v>
      </c>
      <c r="AK849" s="85">
        <f>Datasheet!AK252</f>
        <v>0</v>
      </c>
    </row>
    <row r="850" spans="2:37" s="9" customFormat="1" x14ac:dyDescent="0.25">
      <c r="B850" s="66"/>
      <c r="C850" s="85" t="str">
        <f>Datasheet!G253</f>
        <v>Construction</v>
      </c>
      <c r="D850" s="85"/>
      <c r="E850"/>
      <c r="F850" s="85"/>
      <c r="G850" s="85"/>
      <c r="H850" s="85" t="s">
        <v>1118</v>
      </c>
      <c r="I850" s="85">
        <f>Datasheet!I253</f>
        <v>3167</v>
      </c>
      <c r="J850" s="85">
        <f>Datasheet!J253</f>
        <v>2826</v>
      </c>
      <c r="K850" s="85">
        <f>Datasheet!K253</f>
        <v>2675</v>
      </c>
      <c r="L850" s="85">
        <f>Datasheet!L253</f>
        <v>2752</v>
      </c>
      <c r="M850" s="85">
        <f>Datasheet!M253</f>
        <v>2948</v>
      </c>
      <c r="N850" s="85">
        <f>Datasheet!N253</f>
        <v>3169</v>
      </c>
      <c r="O850" s="85">
        <f>Datasheet!O253</f>
        <v>3236</v>
      </c>
      <c r="P850" s="85">
        <f>Datasheet!P253</f>
        <v>2748</v>
      </c>
      <c r="Q850" s="85">
        <f>Datasheet!Q253</f>
        <v>2200</v>
      </c>
      <c r="R850" s="85">
        <f>Datasheet!R253</f>
        <v>2206</v>
      </c>
      <c r="S850" s="85">
        <f>Datasheet!S253</f>
        <v>2321</v>
      </c>
      <c r="T850" s="85">
        <f>Datasheet!T253</f>
        <v>2452</v>
      </c>
      <c r="U850" s="85">
        <f>Datasheet!U253</f>
        <v>2567</v>
      </c>
      <c r="V850" s="85">
        <f>Datasheet!V253</f>
        <v>2672</v>
      </c>
      <c r="W850" s="85">
        <f>Datasheet!W253</f>
        <v>2846</v>
      </c>
      <c r="X850" s="85">
        <f>Datasheet!X253</f>
        <v>2832</v>
      </c>
      <c r="Y850" s="85">
        <f>Datasheet!Y253</f>
        <v>2789</v>
      </c>
      <c r="Z850" s="85">
        <f>Datasheet!Z253</f>
        <v>2930</v>
      </c>
      <c r="AA850" s="85">
        <f>Datasheet!AA253</f>
        <v>0</v>
      </c>
      <c r="AB850" s="85">
        <f>Datasheet!AB253</f>
        <v>0</v>
      </c>
      <c r="AC850" s="85">
        <f>Datasheet!AC253</f>
        <v>0</v>
      </c>
      <c r="AD850" s="85">
        <f>Datasheet!AD253</f>
        <v>0</v>
      </c>
      <c r="AE850" s="85">
        <f>Datasheet!AE253</f>
        <v>0</v>
      </c>
      <c r="AF850" s="85">
        <f>Datasheet!AF253</f>
        <v>0</v>
      </c>
      <c r="AG850" s="85">
        <f>Datasheet!AG253</f>
        <v>0</v>
      </c>
      <c r="AH850" s="85">
        <f>Datasheet!AH253</f>
        <v>0</v>
      </c>
      <c r="AI850" s="85">
        <f>Datasheet!AI253</f>
        <v>0</v>
      </c>
      <c r="AJ850" s="85">
        <f>Datasheet!AJ253</f>
        <v>0</v>
      </c>
      <c r="AK850" s="85">
        <f>Datasheet!AK253</f>
        <v>0</v>
      </c>
    </row>
    <row r="851" spans="2:37" s="9" customFormat="1" x14ac:dyDescent="0.25">
      <c r="B851" s="66"/>
      <c r="C851" s="85" t="str">
        <f>Datasheet!G254</f>
        <v>Manufacturing</v>
      </c>
      <c r="D851" s="85"/>
      <c r="E851"/>
      <c r="F851" s="85"/>
      <c r="G851" s="85"/>
      <c r="H851" s="85" t="s">
        <v>1118</v>
      </c>
      <c r="I851" s="85">
        <f>Datasheet!I254</f>
        <v>308</v>
      </c>
      <c r="J851" s="85">
        <f>Datasheet!J254</f>
        <v>279</v>
      </c>
      <c r="K851" s="85">
        <f>Datasheet!K254</f>
        <v>260</v>
      </c>
      <c r="L851" s="85">
        <f>Datasheet!L254</f>
        <v>254</v>
      </c>
      <c r="M851" s="85">
        <f>Datasheet!M254</f>
        <v>267</v>
      </c>
      <c r="N851" s="85">
        <f>Datasheet!N254</f>
        <v>240</v>
      </c>
      <c r="O851" s="85">
        <f>Datasheet!O254</f>
        <v>243</v>
      </c>
      <c r="P851" s="85">
        <f>Datasheet!P254</f>
        <v>262</v>
      </c>
      <c r="Q851" s="85">
        <f>Datasheet!Q254</f>
        <v>257</v>
      </c>
      <c r="R851" s="85">
        <f>Datasheet!R254</f>
        <v>286</v>
      </c>
      <c r="S851" s="85">
        <f>Datasheet!S254</f>
        <v>271</v>
      </c>
      <c r="T851" s="85">
        <f>Datasheet!T254</f>
        <v>287</v>
      </c>
      <c r="U851" s="85">
        <f>Datasheet!U254</f>
        <v>286</v>
      </c>
      <c r="V851" s="85">
        <f>Datasheet!V254</f>
        <v>315</v>
      </c>
      <c r="W851" s="85">
        <f>Datasheet!W254</f>
        <v>332</v>
      </c>
      <c r="X851" s="85">
        <f>Datasheet!X254</f>
        <v>365</v>
      </c>
      <c r="Y851" s="85">
        <f>Datasheet!Y254</f>
        <v>414</v>
      </c>
      <c r="Z851" s="85">
        <f>Datasheet!Z254</f>
        <v>418</v>
      </c>
      <c r="AA851" s="85">
        <f>Datasheet!AA254</f>
        <v>0</v>
      </c>
      <c r="AB851" s="85">
        <f>Datasheet!AB254</f>
        <v>0</v>
      </c>
      <c r="AC851" s="85">
        <f>Datasheet!AC254</f>
        <v>0</v>
      </c>
      <c r="AD851" s="85">
        <f>Datasheet!AD254</f>
        <v>0</v>
      </c>
      <c r="AE851" s="85">
        <f>Datasheet!AE254</f>
        <v>0</v>
      </c>
      <c r="AF851" s="85">
        <f>Datasheet!AF254</f>
        <v>0</v>
      </c>
      <c r="AG851" s="85">
        <f>Datasheet!AG254</f>
        <v>0</v>
      </c>
      <c r="AH851" s="85">
        <f>Datasheet!AH254</f>
        <v>0</v>
      </c>
      <c r="AI851" s="85">
        <f>Datasheet!AI254</f>
        <v>0</v>
      </c>
      <c r="AJ851" s="85">
        <f>Datasheet!AJ254</f>
        <v>0</v>
      </c>
      <c r="AK851" s="85">
        <f>Datasheet!AK254</f>
        <v>0</v>
      </c>
    </row>
    <row r="852" spans="2:37" s="9" customFormat="1" x14ac:dyDescent="0.25">
      <c r="B852" s="66"/>
      <c r="C852" s="85" t="str">
        <f>Datasheet!G255</f>
        <v>Wholesale trade</v>
      </c>
      <c r="D852" s="85"/>
      <c r="E852"/>
      <c r="F852" s="85"/>
      <c r="G852" s="85"/>
      <c r="H852" s="85" t="s">
        <v>1118</v>
      </c>
      <c r="I852" s="85" t="str">
        <f>Datasheet!I255</f>
        <v>(D)</v>
      </c>
      <c r="J852" s="85" t="str">
        <f>Datasheet!J255</f>
        <v>(D)</v>
      </c>
      <c r="K852" s="85" t="str">
        <f>Datasheet!K255</f>
        <v>(D)</v>
      </c>
      <c r="L852" s="85" t="str">
        <f>Datasheet!L255</f>
        <v>(D)</v>
      </c>
      <c r="M852" s="85" t="str">
        <f>Datasheet!M255</f>
        <v>(D)</v>
      </c>
      <c r="N852" s="85" t="str">
        <f>Datasheet!N255</f>
        <v>(D)</v>
      </c>
      <c r="O852" s="85" t="str">
        <f>Datasheet!O255</f>
        <v>(D)</v>
      </c>
      <c r="P852" s="85" t="str">
        <f>Datasheet!P255</f>
        <v>(D)</v>
      </c>
      <c r="Q852" s="85" t="str">
        <f>Datasheet!Q255</f>
        <v>(D)</v>
      </c>
      <c r="R852" s="85" t="str">
        <f>Datasheet!R255</f>
        <v>(D)</v>
      </c>
      <c r="S852" s="85" t="str">
        <f>Datasheet!S255</f>
        <v>(D)</v>
      </c>
      <c r="T852" s="85" t="str">
        <f>Datasheet!T255</f>
        <v>(D)</v>
      </c>
      <c r="U852" s="85" t="str">
        <f>Datasheet!U255</f>
        <v>(D)</v>
      </c>
      <c r="V852" s="85" t="str">
        <f>Datasheet!V255</f>
        <v>(D)</v>
      </c>
      <c r="W852" s="85" t="str">
        <f>Datasheet!W255</f>
        <v>(D)</v>
      </c>
      <c r="X852" s="85" t="str">
        <f>Datasheet!X255</f>
        <v>(D)</v>
      </c>
      <c r="Y852" s="85" t="str">
        <f>Datasheet!Y255</f>
        <v>(D)</v>
      </c>
      <c r="Z852" s="85" t="str">
        <f>Datasheet!Z255</f>
        <v>(D)</v>
      </c>
      <c r="AA852" s="85">
        <f>Datasheet!AA255</f>
        <v>0</v>
      </c>
      <c r="AB852" s="85">
        <f>Datasheet!AB255</f>
        <v>0</v>
      </c>
      <c r="AC852" s="85">
        <f>Datasheet!AC255</f>
        <v>0</v>
      </c>
      <c r="AD852" s="85">
        <f>Datasheet!AD255</f>
        <v>0</v>
      </c>
      <c r="AE852" s="85">
        <f>Datasheet!AE255</f>
        <v>0</v>
      </c>
      <c r="AF852" s="85">
        <f>Datasheet!AF255</f>
        <v>0</v>
      </c>
      <c r="AG852" s="85">
        <f>Datasheet!AG255</f>
        <v>0</v>
      </c>
      <c r="AH852" s="85">
        <f>Datasheet!AH255</f>
        <v>0</v>
      </c>
      <c r="AI852" s="85">
        <f>Datasheet!AI255</f>
        <v>0</v>
      </c>
      <c r="AJ852" s="85">
        <f>Datasheet!AJ255</f>
        <v>0</v>
      </c>
      <c r="AK852" s="85">
        <f>Datasheet!AK255</f>
        <v>0</v>
      </c>
    </row>
    <row r="853" spans="2:37" s="9" customFormat="1" x14ac:dyDescent="0.25">
      <c r="B853" s="66"/>
      <c r="C853" s="85" t="str">
        <f>Datasheet!G256</f>
        <v>Retail trade</v>
      </c>
      <c r="D853" s="85"/>
      <c r="E853"/>
      <c r="F853" s="85"/>
      <c r="G853" s="85"/>
      <c r="H853" s="85" t="s">
        <v>1118</v>
      </c>
      <c r="I853" s="85">
        <f>Datasheet!I256</f>
        <v>2453</v>
      </c>
      <c r="J853" s="85">
        <f>Datasheet!J256</f>
        <v>2300</v>
      </c>
      <c r="K853" s="85">
        <f>Datasheet!K256</f>
        <v>2250</v>
      </c>
      <c r="L853" s="85">
        <f>Datasheet!L256</f>
        <v>2247</v>
      </c>
      <c r="M853" s="85">
        <f>Datasheet!M256</f>
        <v>2320</v>
      </c>
      <c r="N853" s="85">
        <f>Datasheet!N256</f>
        <v>2360</v>
      </c>
      <c r="O853" s="85">
        <f>Datasheet!O256</f>
        <v>2352</v>
      </c>
      <c r="P853" s="85">
        <f>Datasheet!P256</f>
        <v>2222</v>
      </c>
      <c r="Q853" s="85">
        <f>Datasheet!Q256</f>
        <v>2131</v>
      </c>
      <c r="R853" s="85">
        <f>Datasheet!R256</f>
        <v>2141</v>
      </c>
      <c r="S853" s="85">
        <f>Datasheet!S256</f>
        <v>2169</v>
      </c>
      <c r="T853" s="85">
        <f>Datasheet!T256</f>
        <v>2348</v>
      </c>
      <c r="U853" s="85">
        <f>Datasheet!U256</f>
        <v>2488</v>
      </c>
      <c r="V853" s="85">
        <f>Datasheet!V256</f>
        <v>2641</v>
      </c>
      <c r="W853" s="85">
        <f>Datasheet!W256</f>
        <v>2674</v>
      </c>
      <c r="X853" s="85">
        <f>Datasheet!X256</f>
        <v>2604</v>
      </c>
      <c r="Y853" s="85">
        <f>Datasheet!Y256</f>
        <v>2683</v>
      </c>
      <c r="Z853" s="85">
        <f>Datasheet!Z256</f>
        <v>2683</v>
      </c>
      <c r="AA853" s="85">
        <f>Datasheet!AA256</f>
        <v>0</v>
      </c>
      <c r="AB853" s="85">
        <f>Datasheet!AB256</f>
        <v>0</v>
      </c>
      <c r="AC853" s="85">
        <f>Datasheet!AC256</f>
        <v>0</v>
      </c>
      <c r="AD853" s="85">
        <f>Datasheet!AD256</f>
        <v>0</v>
      </c>
      <c r="AE853" s="85">
        <f>Datasheet!AE256</f>
        <v>0</v>
      </c>
      <c r="AF853" s="85">
        <f>Datasheet!AF256</f>
        <v>0</v>
      </c>
      <c r="AG853" s="85">
        <f>Datasheet!AG256</f>
        <v>0</v>
      </c>
      <c r="AH853" s="85">
        <f>Datasheet!AH256</f>
        <v>0</v>
      </c>
      <c r="AI853" s="85">
        <f>Datasheet!AI256</f>
        <v>0</v>
      </c>
      <c r="AJ853" s="85">
        <f>Datasheet!AJ256</f>
        <v>0</v>
      </c>
      <c r="AK853" s="85">
        <f>Datasheet!AK256</f>
        <v>0</v>
      </c>
    </row>
    <row r="854" spans="2:37" s="9" customFormat="1" x14ac:dyDescent="0.25">
      <c r="B854" s="66"/>
      <c r="C854" s="85" t="str">
        <f>Datasheet!G257</f>
        <v>Transportation and warehousing</v>
      </c>
      <c r="D854" s="85"/>
      <c r="F854" s="85"/>
      <c r="G854" s="85"/>
      <c r="H854" s="85" t="s">
        <v>1118</v>
      </c>
      <c r="I854" s="85">
        <f>Datasheet!I257</f>
        <v>395</v>
      </c>
      <c r="J854" s="85">
        <f>Datasheet!J257</f>
        <v>402</v>
      </c>
      <c r="K854" s="85">
        <f>Datasheet!K257</f>
        <v>432</v>
      </c>
      <c r="L854" s="85">
        <f>Datasheet!L257</f>
        <v>426</v>
      </c>
      <c r="M854" s="85">
        <f>Datasheet!M257</f>
        <v>426</v>
      </c>
      <c r="N854" s="85">
        <f>Datasheet!N257</f>
        <v>449</v>
      </c>
      <c r="O854" s="85">
        <f>Datasheet!O257</f>
        <v>472</v>
      </c>
      <c r="P854" s="85">
        <f>Datasheet!P257</f>
        <v>470</v>
      </c>
      <c r="Q854" s="85">
        <f>Datasheet!Q257</f>
        <v>483</v>
      </c>
      <c r="R854" s="85">
        <f>Datasheet!R257</f>
        <v>460</v>
      </c>
      <c r="S854" s="85">
        <f>Datasheet!S257</f>
        <v>494</v>
      </c>
      <c r="T854" s="85">
        <f>Datasheet!T257</f>
        <v>539</v>
      </c>
      <c r="U854" s="85">
        <f>Datasheet!U257</f>
        <v>514</v>
      </c>
      <c r="V854" s="85">
        <f>Datasheet!V257</f>
        <v>566</v>
      </c>
      <c r="W854" s="85">
        <f>Datasheet!W257</f>
        <v>583</v>
      </c>
      <c r="X854" s="85">
        <f>Datasheet!X257</f>
        <v>668</v>
      </c>
      <c r="Y854" s="85">
        <f>Datasheet!Y257</f>
        <v>746</v>
      </c>
      <c r="Z854" s="85">
        <f>Datasheet!Z257</f>
        <v>744</v>
      </c>
      <c r="AA854" s="85">
        <f>Datasheet!AA257</f>
        <v>0</v>
      </c>
      <c r="AB854" s="85">
        <f>Datasheet!AB257</f>
        <v>0</v>
      </c>
      <c r="AC854" s="85">
        <f>Datasheet!AC257</f>
        <v>0</v>
      </c>
      <c r="AD854" s="85">
        <f>Datasheet!AD257</f>
        <v>0</v>
      </c>
      <c r="AE854" s="85">
        <f>Datasheet!AE257</f>
        <v>0</v>
      </c>
      <c r="AF854" s="85">
        <f>Datasheet!AF257</f>
        <v>0</v>
      </c>
      <c r="AG854" s="85">
        <f>Datasheet!AG257</f>
        <v>0</v>
      </c>
      <c r="AH854" s="85">
        <f>Datasheet!AH257</f>
        <v>0</v>
      </c>
      <c r="AI854" s="85">
        <f>Datasheet!AI257</f>
        <v>0</v>
      </c>
      <c r="AJ854" s="85">
        <f>Datasheet!AJ257</f>
        <v>0</v>
      </c>
      <c r="AK854" s="85">
        <f>Datasheet!AK257</f>
        <v>0</v>
      </c>
    </row>
    <row r="855" spans="2:37" s="9" customFormat="1" x14ac:dyDescent="0.25">
      <c r="B855" s="66"/>
      <c r="C855" s="85" t="str">
        <f>Datasheet!G258</f>
        <v>Information</v>
      </c>
      <c r="D855" s="85"/>
      <c r="F855" s="85"/>
      <c r="G855" s="85"/>
      <c r="H855" s="85" t="s">
        <v>1118</v>
      </c>
      <c r="I855" s="85">
        <f>Datasheet!I258</f>
        <v>394</v>
      </c>
      <c r="J855" s="85">
        <f>Datasheet!J258</f>
        <v>385</v>
      </c>
      <c r="K855" s="85">
        <f>Datasheet!K258</f>
        <v>370</v>
      </c>
      <c r="L855" s="85">
        <f>Datasheet!L258</f>
        <v>365</v>
      </c>
      <c r="M855" s="85">
        <f>Datasheet!M258</f>
        <v>361</v>
      </c>
      <c r="N855" s="85">
        <f>Datasheet!N258</f>
        <v>348</v>
      </c>
      <c r="O855" s="85">
        <f>Datasheet!O258</f>
        <v>351</v>
      </c>
      <c r="P855" s="85">
        <f>Datasheet!P258</f>
        <v>342</v>
      </c>
      <c r="Q855" s="85">
        <f>Datasheet!Q258</f>
        <v>332</v>
      </c>
      <c r="R855" s="85">
        <f>Datasheet!R258</f>
        <v>349</v>
      </c>
      <c r="S855" s="85">
        <f>Datasheet!S258</f>
        <v>352</v>
      </c>
      <c r="T855" s="85">
        <f>Datasheet!T258</f>
        <v>364</v>
      </c>
      <c r="U855" s="85">
        <f>Datasheet!U258</f>
        <v>377</v>
      </c>
      <c r="V855" s="85">
        <f>Datasheet!V258</f>
        <v>347</v>
      </c>
      <c r="W855" s="85">
        <f>Datasheet!W258</f>
        <v>362</v>
      </c>
      <c r="X855" s="85">
        <f>Datasheet!X258</f>
        <v>396</v>
      </c>
      <c r="Y855" s="85">
        <f>Datasheet!Y258</f>
        <v>384</v>
      </c>
      <c r="Z855" s="85">
        <f>Datasheet!Z258</f>
        <v>382</v>
      </c>
      <c r="AA855" s="85">
        <f>Datasheet!AA258</f>
        <v>0</v>
      </c>
      <c r="AB855" s="85">
        <f>Datasheet!AB258</f>
        <v>0</v>
      </c>
      <c r="AC855" s="85">
        <f>Datasheet!AC258</f>
        <v>0</v>
      </c>
      <c r="AD855" s="85">
        <f>Datasheet!AD258</f>
        <v>0</v>
      </c>
      <c r="AE855" s="85">
        <f>Datasheet!AE258</f>
        <v>0</v>
      </c>
      <c r="AF855" s="85">
        <f>Datasheet!AF258</f>
        <v>0</v>
      </c>
      <c r="AG855" s="85">
        <f>Datasheet!AG258</f>
        <v>0</v>
      </c>
      <c r="AH855" s="85">
        <f>Datasheet!AH258</f>
        <v>0</v>
      </c>
      <c r="AI855" s="85">
        <f>Datasheet!AI258</f>
        <v>0</v>
      </c>
      <c r="AJ855" s="85">
        <f>Datasheet!AJ258</f>
        <v>0</v>
      </c>
      <c r="AK855" s="85">
        <f>Datasheet!AK258</f>
        <v>0</v>
      </c>
    </row>
    <row r="856" spans="2:37" s="9" customFormat="1" x14ac:dyDescent="0.25">
      <c r="B856" s="66"/>
      <c r="C856" s="85" t="str">
        <f>Datasheet!G259</f>
        <v>Finance and insurance</v>
      </c>
      <c r="D856" s="85"/>
      <c r="F856" s="85"/>
      <c r="G856" s="85"/>
      <c r="H856" s="85" t="s">
        <v>1118</v>
      </c>
      <c r="I856" s="85">
        <f>Datasheet!I259</f>
        <v>932</v>
      </c>
      <c r="J856" s="85">
        <f>Datasheet!J259</f>
        <v>1007</v>
      </c>
      <c r="K856" s="85">
        <f>Datasheet!K259</f>
        <v>1054</v>
      </c>
      <c r="L856" s="85">
        <f>Datasheet!L259</f>
        <v>1140</v>
      </c>
      <c r="M856" s="85">
        <f>Datasheet!M259</f>
        <v>1218</v>
      </c>
      <c r="N856" s="85">
        <f>Datasheet!N259</f>
        <v>1452</v>
      </c>
      <c r="O856" s="85">
        <f>Datasheet!O259</f>
        <v>1670</v>
      </c>
      <c r="P856" s="85">
        <f>Datasheet!P259</f>
        <v>1937</v>
      </c>
      <c r="Q856" s="85">
        <f>Datasheet!Q259</f>
        <v>1798</v>
      </c>
      <c r="R856" s="85">
        <f>Datasheet!R259</f>
        <v>2015</v>
      </c>
      <c r="S856" s="85">
        <f>Datasheet!S259</f>
        <v>2067</v>
      </c>
      <c r="T856" s="85">
        <f>Datasheet!T259</f>
        <v>2222</v>
      </c>
      <c r="U856" s="85">
        <f>Datasheet!U259</f>
        <v>2290</v>
      </c>
      <c r="V856" s="85">
        <f>Datasheet!V259</f>
        <v>2356</v>
      </c>
      <c r="W856" s="85">
        <f>Datasheet!W259</f>
        <v>2457</v>
      </c>
      <c r="X856" s="85">
        <f>Datasheet!X259</f>
        <v>2508</v>
      </c>
      <c r="Y856" s="85">
        <f>Datasheet!Y259</f>
        <v>2880</v>
      </c>
      <c r="Z856" s="85">
        <f>Datasheet!Z259</f>
        <v>2953</v>
      </c>
      <c r="AA856" s="85">
        <f>Datasheet!AA259</f>
        <v>0</v>
      </c>
      <c r="AB856" s="85">
        <f>Datasheet!AB259</f>
        <v>0</v>
      </c>
      <c r="AC856" s="85">
        <f>Datasheet!AC259</f>
        <v>0</v>
      </c>
      <c r="AD856" s="85">
        <f>Datasheet!AD259</f>
        <v>0</v>
      </c>
      <c r="AE856" s="85">
        <f>Datasheet!AE259</f>
        <v>0</v>
      </c>
      <c r="AF856" s="85">
        <f>Datasheet!AF259</f>
        <v>0</v>
      </c>
      <c r="AG856" s="85">
        <f>Datasheet!AG259</f>
        <v>0</v>
      </c>
      <c r="AH856" s="85">
        <f>Datasheet!AH259</f>
        <v>0</v>
      </c>
      <c r="AI856" s="85">
        <f>Datasheet!AI259</f>
        <v>0</v>
      </c>
      <c r="AJ856" s="85">
        <f>Datasheet!AJ259</f>
        <v>0</v>
      </c>
      <c r="AK856" s="85">
        <f>Datasheet!AK259</f>
        <v>0</v>
      </c>
    </row>
    <row r="857" spans="2:37" s="9" customFormat="1" x14ac:dyDescent="0.25">
      <c r="B857" s="66"/>
      <c r="C857" s="85" t="str">
        <f>Datasheet!G260</f>
        <v>Real estate and rental and leasing</v>
      </c>
      <c r="D857" s="85"/>
      <c r="F857" s="85"/>
      <c r="G857" s="85"/>
      <c r="H857" s="85" t="s">
        <v>1118</v>
      </c>
      <c r="I857" s="85">
        <f>Datasheet!I260</f>
        <v>1652</v>
      </c>
      <c r="J857" s="85">
        <f>Datasheet!J260</f>
        <v>1682</v>
      </c>
      <c r="K857" s="85">
        <f>Datasheet!K260</f>
        <v>1885</v>
      </c>
      <c r="L857" s="85">
        <f>Datasheet!L260</f>
        <v>2177</v>
      </c>
      <c r="M857" s="85">
        <f>Datasheet!M260</f>
        <v>2479</v>
      </c>
      <c r="N857" s="85">
        <f>Datasheet!N260</f>
        <v>2679</v>
      </c>
      <c r="O857" s="85">
        <f>Datasheet!O260</f>
        <v>2986</v>
      </c>
      <c r="P857" s="85">
        <f>Datasheet!P260</f>
        <v>2825</v>
      </c>
      <c r="Q857" s="85">
        <f>Datasheet!Q260</f>
        <v>2922</v>
      </c>
      <c r="R857" s="85">
        <f>Datasheet!R260</f>
        <v>2940</v>
      </c>
      <c r="S857" s="85">
        <f>Datasheet!S260</f>
        <v>2911</v>
      </c>
      <c r="T857" s="85">
        <f>Datasheet!T260</f>
        <v>3088</v>
      </c>
      <c r="U857" s="85">
        <f>Datasheet!U260</f>
        <v>3272</v>
      </c>
      <c r="V857" s="85">
        <f>Datasheet!V260</f>
        <v>3268</v>
      </c>
      <c r="W857" s="85">
        <f>Datasheet!W260</f>
        <v>3387</v>
      </c>
      <c r="X857" s="85">
        <f>Datasheet!X260</f>
        <v>3521</v>
      </c>
      <c r="Y857" s="85">
        <f>Datasheet!Y260</f>
        <v>3706</v>
      </c>
      <c r="Z857" s="85">
        <f>Datasheet!Z260</f>
        <v>3874</v>
      </c>
      <c r="AA857" s="85">
        <f>Datasheet!AA260</f>
        <v>0</v>
      </c>
      <c r="AB857" s="85">
        <f>Datasheet!AB260</f>
        <v>0</v>
      </c>
      <c r="AC857" s="85">
        <f>Datasheet!AC260</f>
        <v>0</v>
      </c>
      <c r="AD857" s="85">
        <f>Datasheet!AD260</f>
        <v>0</v>
      </c>
      <c r="AE857" s="85">
        <f>Datasheet!AE260</f>
        <v>0</v>
      </c>
      <c r="AF857" s="85">
        <f>Datasheet!AF260</f>
        <v>0</v>
      </c>
      <c r="AG857" s="85">
        <f>Datasheet!AG260</f>
        <v>0</v>
      </c>
      <c r="AH857" s="85">
        <f>Datasheet!AH260</f>
        <v>0</v>
      </c>
      <c r="AI857" s="85">
        <f>Datasheet!AI260</f>
        <v>0</v>
      </c>
      <c r="AJ857" s="85">
        <f>Datasheet!AJ260</f>
        <v>0</v>
      </c>
      <c r="AK857" s="85">
        <f>Datasheet!AK260</f>
        <v>0</v>
      </c>
    </row>
    <row r="858" spans="2:37" s="9" customFormat="1" x14ac:dyDescent="0.25">
      <c r="B858" s="66"/>
      <c r="C858" s="85" t="str">
        <f>Datasheet!G261</f>
        <v>Professional, scientific, and technical services</v>
      </c>
      <c r="D858" s="85"/>
      <c r="F858" s="85"/>
      <c r="G858" s="85"/>
      <c r="H858" s="85" t="s">
        <v>1118</v>
      </c>
      <c r="I858" s="85">
        <f>Datasheet!I261</f>
        <v>1575</v>
      </c>
      <c r="J858" s="85">
        <f>Datasheet!J261</f>
        <v>1574</v>
      </c>
      <c r="K858" s="85">
        <f>Datasheet!K261</f>
        <v>1669</v>
      </c>
      <c r="L858" s="85">
        <f>Datasheet!L261</f>
        <v>1636</v>
      </c>
      <c r="M858" s="85">
        <f>Datasheet!M261</f>
        <v>1729</v>
      </c>
      <c r="N858" s="85">
        <f>Datasheet!N261</f>
        <v>1915</v>
      </c>
      <c r="O858" s="85">
        <f>Datasheet!O261</f>
        <v>1920</v>
      </c>
      <c r="P858" s="85">
        <f>Datasheet!P261</f>
        <v>1819</v>
      </c>
      <c r="Q858" s="85">
        <f>Datasheet!Q261</f>
        <v>1852</v>
      </c>
      <c r="R858" s="85">
        <f>Datasheet!R261</f>
        <v>1813</v>
      </c>
      <c r="S858" s="85">
        <f>Datasheet!S261</f>
        <v>1869</v>
      </c>
      <c r="T858" s="85">
        <f>Datasheet!T261</f>
        <v>1997</v>
      </c>
      <c r="U858" s="85">
        <f>Datasheet!U261</f>
        <v>2144</v>
      </c>
      <c r="V858" s="85">
        <f>Datasheet!V261</f>
        <v>2226</v>
      </c>
      <c r="W858" s="85">
        <f>Datasheet!W261</f>
        <v>2268</v>
      </c>
      <c r="X858" s="85">
        <f>Datasheet!X261</f>
        <v>2291</v>
      </c>
      <c r="Y858" s="85">
        <f>Datasheet!Y261</f>
        <v>2396</v>
      </c>
      <c r="Z858" s="85">
        <f>Datasheet!Z261</f>
        <v>2477</v>
      </c>
      <c r="AA858" s="85">
        <f>Datasheet!AA261</f>
        <v>0</v>
      </c>
      <c r="AB858" s="85">
        <f>Datasheet!AB261</f>
        <v>0</v>
      </c>
      <c r="AC858" s="85">
        <f>Datasheet!AC261</f>
        <v>0</v>
      </c>
      <c r="AD858" s="85">
        <f>Datasheet!AD261</f>
        <v>0</v>
      </c>
      <c r="AE858" s="85">
        <f>Datasheet!AE261</f>
        <v>0</v>
      </c>
      <c r="AF858" s="85">
        <f>Datasheet!AF261</f>
        <v>0</v>
      </c>
      <c r="AG858" s="85">
        <f>Datasheet!AG261</f>
        <v>0</v>
      </c>
      <c r="AH858" s="85">
        <f>Datasheet!AH261</f>
        <v>0</v>
      </c>
      <c r="AI858" s="85">
        <f>Datasheet!AI261</f>
        <v>0</v>
      </c>
      <c r="AJ858" s="85">
        <f>Datasheet!AJ261</f>
        <v>0</v>
      </c>
      <c r="AK858" s="85">
        <f>Datasheet!AK261</f>
        <v>0</v>
      </c>
    </row>
    <row r="859" spans="2:37" x14ac:dyDescent="0.25">
      <c r="B859" s="66"/>
      <c r="C859" s="85" t="str">
        <f>Datasheet!G262</f>
        <v>Management of companies and enterprises</v>
      </c>
      <c r="D859" s="59"/>
      <c r="E859" s="9"/>
      <c r="F859" s="85"/>
      <c r="G859" s="59"/>
      <c r="H859" s="85" t="s">
        <v>1118</v>
      </c>
      <c r="I859" s="85">
        <f>Datasheet!I262</f>
        <v>78</v>
      </c>
      <c r="J859" s="85">
        <f>Datasheet!J262</f>
        <v>79</v>
      </c>
      <c r="K859" s="85">
        <f>Datasheet!K262</f>
        <v>100</v>
      </c>
      <c r="L859" s="85">
        <f>Datasheet!L262</f>
        <v>114</v>
      </c>
      <c r="M859" s="85">
        <f>Datasheet!M262</f>
        <v>131</v>
      </c>
      <c r="N859" s="85">
        <f>Datasheet!N262</f>
        <v>126</v>
      </c>
      <c r="O859" s="85">
        <f>Datasheet!O262</f>
        <v>102</v>
      </c>
      <c r="P859" s="85">
        <f>Datasheet!P262</f>
        <v>94</v>
      </c>
      <c r="Q859" s="85">
        <f>Datasheet!Q262</f>
        <v>86</v>
      </c>
      <c r="R859" s="85">
        <f>Datasheet!R262</f>
        <v>88</v>
      </c>
      <c r="S859" s="85">
        <f>Datasheet!S262</f>
        <v>93</v>
      </c>
      <c r="T859" s="85">
        <f>Datasheet!T262</f>
        <v>74</v>
      </c>
      <c r="U859" s="85">
        <f>Datasheet!U262</f>
        <v>147</v>
      </c>
      <c r="V859" s="85">
        <f>Datasheet!V262</f>
        <v>163</v>
      </c>
      <c r="W859" s="85">
        <f>Datasheet!W262</f>
        <v>300</v>
      </c>
      <c r="X859" s="85">
        <f>Datasheet!X262</f>
        <v>257</v>
      </c>
      <c r="Y859" s="85">
        <f>Datasheet!Y262</f>
        <v>193</v>
      </c>
      <c r="Z859" s="85">
        <f>Datasheet!Z262</f>
        <v>197</v>
      </c>
      <c r="AA859" s="85">
        <f>Datasheet!AA262</f>
        <v>0</v>
      </c>
      <c r="AB859" s="85">
        <f>Datasheet!AB262</f>
        <v>0</v>
      </c>
      <c r="AC859" s="85">
        <f>Datasheet!AC262</f>
        <v>0</v>
      </c>
      <c r="AD859" s="85">
        <f>Datasheet!AD262</f>
        <v>0</v>
      </c>
      <c r="AE859" s="85">
        <f>Datasheet!AE262</f>
        <v>0</v>
      </c>
      <c r="AF859" s="85">
        <f>Datasheet!AF262</f>
        <v>0</v>
      </c>
      <c r="AG859" s="85">
        <f>Datasheet!AG262</f>
        <v>0</v>
      </c>
      <c r="AH859" s="85">
        <f>Datasheet!AH262</f>
        <v>0</v>
      </c>
      <c r="AI859" s="85">
        <f>Datasheet!AI262</f>
        <v>0</v>
      </c>
      <c r="AJ859" s="85">
        <f>Datasheet!AJ262</f>
        <v>0</v>
      </c>
      <c r="AK859" s="85">
        <f>Datasheet!AK262</f>
        <v>0</v>
      </c>
    </row>
    <row r="860" spans="2:37" x14ac:dyDescent="0.25">
      <c r="B860" s="66"/>
      <c r="C860" s="85" t="str">
        <f>Datasheet!G263</f>
        <v>Administrative and waste management services</v>
      </c>
      <c r="D860" s="59"/>
      <c r="E860" s="9"/>
      <c r="F860" s="85"/>
      <c r="G860" s="59"/>
      <c r="H860" s="85" t="s">
        <v>1118</v>
      </c>
      <c r="I860" s="85">
        <f>Datasheet!I263</f>
        <v>1028</v>
      </c>
      <c r="J860" s="85">
        <f>Datasheet!J263</f>
        <v>1044</v>
      </c>
      <c r="K860" s="85">
        <f>Datasheet!K263</f>
        <v>1058</v>
      </c>
      <c r="L860" s="85">
        <f>Datasheet!L263</f>
        <v>1048</v>
      </c>
      <c r="M860" s="85">
        <f>Datasheet!M263</f>
        <v>1124</v>
      </c>
      <c r="N860" s="85">
        <f>Datasheet!N263</f>
        <v>1203</v>
      </c>
      <c r="O860" s="85">
        <f>Datasheet!O263</f>
        <v>1203</v>
      </c>
      <c r="P860" s="85">
        <f>Datasheet!P263</f>
        <v>1186</v>
      </c>
      <c r="Q860" s="85">
        <f>Datasheet!Q263</f>
        <v>1123</v>
      </c>
      <c r="R860" s="85">
        <f>Datasheet!R263</f>
        <v>1109</v>
      </c>
      <c r="S860" s="85">
        <f>Datasheet!S263</f>
        <v>1185</v>
      </c>
      <c r="T860" s="85">
        <f>Datasheet!T263</f>
        <v>1317</v>
      </c>
      <c r="U860" s="85">
        <f>Datasheet!U263</f>
        <v>1308</v>
      </c>
      <c r="V860" s="85">
        <f>Datasheet!V263</f>
        <v>1347</v>
      </c>
      <c r="W860" s="85">
        <f>Datasheet!W263</f>
        <v>1550</v>
      </c>
      <c r="X860" s="85">
        <f>Datasheet!X263</f>
        <v>1503</v>
      </c>
      <c r="Y860" s="85">
        <f>Datasheet!Y263</f>
        <v>1513</v>
      </c>
      <c r="Z860" s="85">
        <f>Datasheet!Z263</f>
        <v>1578</v>
      </c>
      <c r="AA860" s="85">
        <f>Datasheet!AA263</f>
        <v>0</v>
      </c>
      <c r="AB860" s="85">
        <f>Datasheet!AB263</f>
        <v>0</v>
      </c>
      <c r="AC860" s="85">
        <f>Datasheet!AC263</f>
        <v>0</v>
      </c>
      <c r="AD860" s="85">
        <f>Datasheet!AD263</f>
        <v>0</v>
      </c>
      <c r="AE860" s="85">
        <f>Datasheet!AE263</f>
        <v>0</v>
      </c>
      <c r="AF860" s="85">
        <f>Datasheet!AF263</f>
        <v>0</v>
      </c>
      <c r="AG860" s="85">
        <f>Datasheet!AG263</f>
        <v>0</v>
      </c>
      <c r="AH860" s="85">
        <f>Datasheet!AH263</f>
        <v>0</v>
      </c>
      <c r="AI860" s="85">
        <f>Datasheet!AI263</f>
        <v>0</v>
      </c>
      <c r="AJ860" s="85">
        <f>Datasheet!AJ263</f>
        <v>0</v>
      </c>
      <c r="AK860" s="85">
        <f>Datasheet!AK263</f>
        <v>0</v>
      </c>
    </row>
    <row r="861" spans="2:37" x14ac:dyDescent="0.25">
      <c r="B861" s="66"/>
      <c r="C861" s="85" t="str">
        <f>Datasheet!G264</f>
        <v>Educational services</v>
      </c>
      <c r="D861" s="59"/>
      <c r="E861" s="9"/>
      <c r="F861" s="85"/>
      <c r="G861" s="59"/>
      <c r="H861" s="85" t="s">
        <v>1118</v>
      </c>
      <c r="I861" s="85">
        <f>Datasheet!I264</f>
        <v>205</v>
      </c>
      <c r="J861" s="85">
        <f>Datasheet!J264</f>
        <v>228</v>
      </c>
      <c r="K861" s="85">
        <f>Datasheet!K264</f>
        <v>258</v>
      </c>
      <c r="L861" s="85">
        <f>Datasheet!L264</f>
        <v>287</v>
      </c>
      <c r="M861" s="85">
        <f>Datasheet!M264</f>
        <v>293</v>
      </c>
      <c r="N861" s="85">
        <f>Datasheet!N264</f>
        <v>288</v>
      </c>
      <c r="O861" s="85">
        <f>Datasheet!O264</f>
        <v>327</v>
      </c>
      <c r="P861" s="85">
        <f>Datasheet!P264</f>
        <v>324</v>
      </c>
      <c r="Q861" s="85">
        <f>Datasheet!Q264</f>
        <v>361</v>
      </c>
      <c r="R861" s="85">
        <f>Datasheet!R264</f>
        <v>362</v>
      </c>
      <c r="S861" s="85">
        <f>Datasheet!S264</f>
        <v>360</v>
      </c>
      <c r="T861" s="85">
        <f>Datasheet!T264</f>
        <v>459</v>
      </c>
      <c r="U861" s="85">
        <f>Datasheet!U264</f>
        <v>486</v>
      </c>
      <c r="V861" s="85">
        <f>Datasheet!V264</f>
        <v>508</v>
      </c>
      <c r="W861" s="85">
        <f>Datasheet!W264</f>
        <v>573</v>
      </c>
      <c r="X861" s="85">
        <f>Datasheet!X264</f>
        <v>551</v>
      </c>
      <c r="Y861" s="85">
        <f>Datasheet!Y264</f>
        <v>533</v>
      </c>
      <c r="Z861" s="85">
        <f>Datasheet!Z264</f>
        <v>562</v>
      </c>
      <c r="AA861" s="85">
        <f>Datasheet!AA264</f>
        <v>0</v>
      </c>
      <c r="AB861" s="85">
        <f>Datasheet!AB264</f>
        <v>0</v>
      </c>
      <c r="AC861" s="85">
        <f>Datasheet!AC264</f>
        <v>0</v>
      </c>
      <c r="AD861" s="85">
        <f>Datasheet!AD264</f>
        <v>0</v>
      </c>
      <c r="AE861" s="85">
        <f>Datasheet!AE264</f>
        <v>0</v>
      </c>
      <c r="AF861" s="85">
        <f>Datasheet!AF264</f>
        <v>0</v>
      </c>
      <c r="AG861" s="85">
        <f>Datasheet!AG264</f>
        <v>0</v>
      </c>
      <c r="AH861" s="85">
        <f>Datasheet!AH264</f>
        <v>0</v>
      </c>
      <c r="AI861" s="85">
        <f>Datasheet!AI264</f>
        <v>0</v>
      </c>
      <c r="AJ861" s="85">
        <f>Datasheet!AJ264</f>
        <v>0</v>
      </c>
      <c r="AK861" s="85">
        <f>Datasheet!AK264</f>
        <v>0</v>
      </c>
    </row>
    <row r="862" spans="2:37" x14ac:dyDescent="0.25">
      <c r="B862" s="66"/>
      <c r="C862" s="85" t="str">
        <f>Datasheet!G265</f>
        <v>Health care and social assistance</v>
      </c>
      <c r="D862" s="59"/>
      <c r="E862" s="9"/>
      <c r="F862" s="85"/>
      <c r="G862" s="59"/>
      <c r="H862" s="85" t="s">
        <v>1118</v>
      </c>
      <c r="I862" s="85">
        <f>Datasheet!I265</f>
        <v>777</v>
      </c>
      <c r="J862" s="85">
        <f>Datasheet!J265</f>
        <v>813</v>
      </c>
      <c r="K862" s="85">
        <f>Datasheet!K265</f>
        <v>837</v>
      </c>
      <c r="L862" s="85">
        <f>Datasheet!L265</f>
        <v>874</v>
      </c>
      <c r="M862" s="85">
        <f>Datasheet!M265</f>
        <v>901</v>
      </c>
      <c r="N862" s="85">
        <f>Datasheet!N265</f>
        <v>924</v>
      </c>
      <c r="O862" s="85">
        <f>Datasheet!O265</f>
        <v>931</v>
      </c>
      <c r="P862" s="85">
        <f>Datasheet!P265</f>
        <v>951</v>
      </c>
      <c r="Q862" s="85">
        <f>Datasheet!Q265</f>
        <v>972</v>
      </c>
      <c r="R862" s="85">
        <f>Datasheet!R265</f>
        <v>975</v>
      </c>
      <c r="S862" s="85">
        <f>Datasheet!S265</f>
        <v>1025</v>
      </c>
      <c r="T862" s="85">
        <f>Datasheet!T265</f>
        <v>1076</v>
      </c>
      <c r="U862" s="85">
        <f>Datasheet!U265</f>
        <v>1092</v>
      </c>
      <c r="V862" s="85">
        <f>Datasheet!V265</f>
        <v>1123</v>
      </c>
      <c r="W862" s="85">
        <f>Datasheet!W265</f>
        <v>1168</v>
      </c>
      <c r="X862" s="85">
        <f>Datasheet!X265</f>
        <v>1187</v>
      </c>
      <c r="Y862" s="85">
        <f>Datasheet!Y265</f>
        <v>1230</v>
      </c>
      <c r="Z862" s="85">
        <f>Datasheet!Z265</f>
        <v>1250</v>
      </c>
      <c r="AA862" s="85">
        <f>Datasheet!AA265</f>
        <v>0</v>
      </c>
      <c r="AB862" s="85">
        <f>Datasheet!AB265</f>
        <v>0</v>
      </c>
      <c r="AC862" s="85">
        <f>Datasheet!AC265</f>
        <v>0</v>
      </c>
      <c r="AD862" s="85">
        <f>Datasheet!AD265</f>
        <v>0</v>
      </c>
      <c r="AE862" s="85">
        <f>Datasheet!AE265</f>
        <v>0</v>
      </c>
      <c r="AF862" s="85">
        <f>Datasheet!AF265</f>
        <v>0</v>
      </c>
      <c r="AG862" s="85">
        <f>Datasheet!AG265</f>
        <v>0</v>
      </c>
      <c r="AH862" s="85">
        <f>Datasheet!AH265</f>
        <v>0</v>
      </c>
      <c r="AI862" s="85">
        <f>Datasheet!AI265</f>
        <v>0</v>
      </c>
      <c r="AJ862" s="85">
        <f>Datasheet!AJ265</f>
        <v>0</v>
      </c>
      <c r="AK862" s="85">
        <f>Datasheet!AK265</f>
        <v>0</v>
      </c>
    </row>
    <row r="863" spans="2:37" x14ac:dyDescent="0.25">
      <c r="B863" s="66"/>
      <c r="C863" s="85" t="str">
        <f>Datasheet!G266</f>
        <v>Arts, entertainment, and recreation</v>
      </c>
      <c r="D863" s="59"/>
      <c r="E863" s="9"/>
      <c r="F863" s="85"/>
      <c r="G863" s="59"/>
      <c r="H863" s="85" t="s">
        <v>1118</v>
      </c>
      <c r="I863" s="85">
        <f>Datasheet!I266</f>
        <v>828</v>
      </c>
      <c r="J863" s="85">
        <f>Datasheet!J266</f>
        <v>875</v>
      </c>
      <c r="K863" s="85">
        <f>Datasheet!K266</f>
        <v>946</v>
      </c>
      <c r="L863" s="85">
        <f>Datasheet!L266</f>
        <v>1051</v>
      </c>
      <c r="M863" s="85">
        <f>Datasheet!M266</f>
        <v>1093</v>
      </c>
      <c r="N863" s="85">
        <f>Datasheet!N266</f>
        <v>1209</v>
      </c>
      <c r="O863" s="85">
        <f>Datasheet!O266</f>
        <v>1248</v>
      </c>
      <c r="P863" s="85">
        <f>Datasheet!P266</f>
        <v>1172</v>
      </c>
      <c r="Q863" s="85">
        <f>Datasheet!Q266</f>
        <v>1217</v>
      </c>
      <c r="R863" s="85">
        <f>Datasheet!R266</f>
        <v>1267</v>
      </c>
      <c r="S863" s="85">
        <f>Datasheet!S266</f>
        <v>1307</v>
      </c>
      <c r="T863" s="85">
        <f>Datasheet!T266</f>
        <v>1324</v>
      </c>
      <c r="U863" s="85">
        <f>Datasheet!U266</f>
        <v>1441</v>
      </c>
      <c r="V863" s="85">
        <f>Datasheet!V266</f>
        <v>1329</v>
      </c>
      <c r="W863" s="85">
        <f>Datasheet!W266</f>
        <v>1446</v>
      </c>
      <c r="X863" s="85">
        <f>Datasheet!X266</f>
        <v>1649</v>
      </c>
      <c r="Y863" s="85">
        <f>Datasheet!Y266</f>
        <v>1708</v>
      </c>
      <c r="Z863" s="85">
        <f>Datasheet!Z266</f>
        <v>1699</v>
      </c>
      <c r="AA863" s="85">
        <f>Datasheet!AA266</f>
        <v>0</v>
      </c>
      <c r="AB863" s="85">
        <f>Datasheet!AB266</f>
        <v>0</v>
      </c>
      <c r="AC863" s="85">
        <f>Datasheet!AC266</f>
        <v>0</v>
      </c>
      <c r="AD863" s="85">
        <f>Datasheet!AD266</f>
        <v>0</v>
      </c>
      <c r="AE863" s="85">
        <f>Datasheet!AE266</f>
        <v>0</v>
      </c>
      <c r="AF863" s="85">
        <f>Datasheet!AF266</f>
        <v>0</v>
      </c>
      <c r="AG863" s="85">
        <f>Datasheet!AG266</f>
        <v>0</v>
      </c>
      <c r="AH863" s="85">
        <f>Datasheet!AH266</f>
        <v>0</v>
      </c>
      <c r="AI863" s="85">
        <f>Datasheet!AI266</f>
        <v>0</v>
      </c>
      <c r="AJ863" s="85">
        <f>Datasheet!AJ266</f>
        <v>0</v>
      </c>
      <c r="AK863" s="85">
        <f>Datasheet!AK266</f>
        <v>0</v>
      </c>
    </row>
    <row r="864" spans="2:37" x14ac:dyDescent="0.25">
      <c r="B864" s="66"/>
      <c r="C864" s="85" t="str">
        <f>Datasheet!G267</f>
        <v>Accommodation and food services</v>
      </c>
      <c r="D864" s="59"/>
      <c r="E864" s="9"/>
      <c r="F864" s="85"/>
      <c r="G864" s="59"/>
      <c r="H864" s="85" t="s">
        <v>1118</v>
      </c>
      <c r="I864" s="85">
        <f>Datasheet!I267</f>
        <v>5431</v>
      </c>
      <c r="J864" s="85">
        <f>Datasheet!J267</f>
        <v>5635</v>
      </c>
      <c r="K864" s="85">
        <f>Datasheet!K267</f>
        <v>5865</v>
      </c>
      <c r="L864" s="85">
        <f>Datasheet!L267</f>
        <v>5971</v>
      </c>
      <c r="M864" s="85">
        <f>Datasheet!M267</f>
        <v>6163</v>
      </c>
      <c r="N864" s="85">
        <f>Datasheet!N267</f>
        <v>6310</v>
      </c>
      <c r="O864" s="85">
        <f>Datasheet!O267</f>
        <v>6613</v>
      </c>
      <c r="P864" s="85">
        <f>Datasheet!P267</f>
        <v>6110</v>
      </c>
      <c r="Q864" s="85">
        <f>Datasheet!Q267</f>
        <v>6252</v>
      </c>
      <c r="R864" s="85">
        <f>Datasheet!R267</f>
        <v>6264</v>
      </c>
      <c r="S864" s="85">
        <f>Datasheet!S267</f>
        <v>6446</v>
      </c>
      <c r="T864" s="85">
        <f>Datasheet!T267</f>
        <v>6540</v>
      </c>
      <c r="U864" s="85">
        <f>Datasheet!U267</f>
        <v>6813</v>
      </c>
      <c r="V864" s="85">
        <f>Datasheet!V267</f>
        <v>7091</v>
      </c>
      <c r="W864" s="85">
        <f>Datasheet!W267</f>
        <v>7328</v>
      </c>
      <c r="X864" s="85">
        <f>Datasheet!X267</f>
        <v>7528</v>
      </c>
      <c r="Y864" s="85">
        <f>Datasheet!Y267</f>
        <v>7569</v>
      </c>
      <c r="Z864" s="85">
        <f>Datasheet!Z267</f>
        <v>7773</v>
      </c>
      <c r="AA864" s="85">
        <f>Datasheet!AA267</f>
        <v>0</v>
      </c>
      <c r="AB864" s="85">
        <f>Datasheet!AB267</f>
        <v>0</v>
      </c>
      <c r="AC864" s="85">
        <f>Datasheet!AC267</f>
        <v>0</v>
      </c>
      <c r="AD864" s="85">
        <f>Datasheet!AD267</f>
        <v>0</v>
      </c>
      <c r="AE864" s="85">
        <f>Datasheet!AE267</f>
        <v>0</v>
      </c>
      <c r="AF864" s="85">
        <f>Datasheet!AF267</f>
        <v>0</v>
      </c>
      <c r="AG864" s="85">
        <f>Datasheet!AG267</f>
        <v>0</v>
      </c>
      <c r="AH864" s="85">
        <f>Datasheet!AH267</f>
        <v>0</v>
      </c>
      <c r="AI864" s="85">
        <f>Datasheet!AI267</f>
        <v>0</v>
      </c>
      <c r="AJ864" s="85">
        <f>Datasheet!AJ267</f>
        <v>0</v>
      </c>
      <c r="AK864" s="85">
        <f>Datasheet!AK267</f>
        <v>0</v>
      </c>
    </row>
    <row r="865" spans="1:37" x14ac:dyDescent="0.25">
      <c r="B865" s="66"/>
      <c r="C865" s="85" t="str">
        <f>Datasheet!G268</f>
        <v>Other services, except public administration</v>
      </c>
      <c r="D865" s="59"/>
      <c r="E865" s="9"/>
      <c r="F865" s="85"/>
      <c r="G865" s="59"/>
      <c r="H865" s="85" t="s">
        <v>1118</v>
      </c>
      <c r="I865" s="85">
        <f>Datasheet!I268</f>
        <v>1108</v>
      </c>
      <c r="J865" s="85">
        <f>Datasheet!J268</f>
        <v>1122</v>
      </c>
      <c r="K865" s="85">
        <f>Datasheet!K268</f>
        <v>1152</v>
      </c>
      <c r="L865" s="85">
        <f>Datasheet!L268</f>
        <v>1205</v>
      </c>
      <c r="M865" s="85">
        <f>Datasheet!M268</f>
        <v>1228</v>
      </c>
      <c r="N865" s="85">
        <f>Datasheet!N268</f>
        <v>1271</v>
      </c>
      <c r="O865" s="85">
        <f>Datasheet!O268</f>
        <v>1215</v>
      </c>
      <c r="P865" s="85">
        <f>Datasheet!P268</f>
        <v>1132</v>
      </c>
      <c r="Q865" s="85">
        <f>Datasheet!Q268</f>
        <v>1068</v>
      </c>
      <c r="R865" s="85">
        <f>Datasheet!R268</f>
        <v>1110</v>
      </c>
      <c r="S865" s="85">
        <f>Datasheet!S268</f>
        <v>1191</v>
      </c>
      <c r="T865" s="85">
        <f>Datasheet!T268</f>
        <v>1247</v>
      </c>
      <c r="U865" s="85">
        <f>Datasheet!U268</f>
        <v>1240</v>
      </c>
      <c r="V865" s="85">
        <f>Datasheet!V268</f>
        <v>1285</v>
      </c>
      <c r="W865" s="85">
        <f>Datasheet!W268</f>
        <v>1298</v>
      </c>
      <c r="X865" s="85">
        <f>Datasheet!X268</f>
        <v>1342</v>
      </c>
      <c r="Y865" s="85">
        <f>Datasheet!Y268</f>
        <v>1411</v>
      </c>
      <c r="Z865" s="85">
        <f>Datasheet!Z268</f>
        <v>1437</v>
      </c>
      <c r="AA865" s="85">
        <f>Datasheet!AA268</f>
        <v>0</v>
      </c>
      <c r="AB865" s="85">
        <f>Datasheet!AB268</f>
        <v>0</v>
      </c>
      <c r="AC865" s="85">
        <f>Datasheet!AC268</f>
        <v>0</v>
      </c>
      <c r="AD865" s="85">
        <f>Datasheet!AD268</f>
        <v>0</v>
      </c>
      <c r="AE865" s="85">
        <f>Datasheet!AE268</f>
        <v>0</v>
      </c>
      <c r="AF865" s="85">
        <f>Datasheet!AF268</f>
        <v>0</v>
      </c>
      <c r="AG865" s="85">
        <f>Datasheet!AG268</f>
        <v>0</v>
      </c>
      <c r="AH865" s="85">
        <f>Datasheet!AH268</f>
        <v>0</v>
      </c>
      <c r="AI865" s="85">
        <f>Datasheet!AI268</f>
        <v>0</v>
      </c>
      <c r="AJ865" s="85">
        <f>Datasheet!AJ268</f>
        <v>0</v>
      </c>
      <c r="AK865" s="85">
        <f>Datasheet!AK268</f>
        <v>0</v>
      </c>
    </row>
    <row r="866" spans="1:37" x14ac:dyDescent="0.25">
      <c r="B866" s="66"/>
      <c r="C866" s="85" t="str">
        <f>Datasheet!F269</f>
        <v>Government and government enterprises</v>
      </c>
      <c r="D866" s="59"/>
      <c r="E866" s="9"/>
      <c r="F866" s="59"/>
      <c r="G866" s="85"/>
      <c r="H866" s="85" t="s">
        <v>1118</v>
      </c>
      <c r="I866" s="85">
        <f>Datasheet!I269</f>
        <v>2170</v>
      </c>
      <c r="J866" s="85">
        <f>Datasheet!J269</f>
        <v>2224</v>
      </c>
      <c r="K866" s="85">
        <f>Datasheet!K269</f>
        <v>2220</v>
      </c>
      <c r="L866" s="85">
        <f>Datasheet!L269</f>
        <v>2267</v>
      </c>
      <c r="M866" s="85">
        <f>Datasheet!M269</f>
        <v>2299</v>
      </c>
      <c r="N866" s="85">
        <f>Datasheet!N269</f>
        <v>2269</v>
      </c>
      <c r="O866" s="85">
        <f>Datasheet!O269</f>
        <v>2283</v>
      </c>
      <c r="P866" s="85">
        <f>Datasheet!P269</f>
        <v>2356</v>
      </c>
      <c r="Q866" s="85">
        <f>Datasheet!Q269</f>
        <v>2386</v>
      </c>
      <c r="R866" s="85">
        <f>Datasheet!R269</f>
        <v>2394</v>
      </c>
      <c r="S866" s="85">
        <f>Datasheet!S269</f>
        <v>2397</v>
      </c>
      <c r="T866" s="85">
        <f>Datasheet!T269</f>
        <v>2415</v>
      </c>
      <c r="U866" s="85">
        <f>Datasheet!U269</f>
        <v>2474</v>
      </c>
      <c r="V866" s="85">
        <f>Datasheet!V269</f>
        <v>2522</v>
      </c>
      <c r="W866" s="85">
        <f>Datasheet!W269</f>
        <v>2599</v>
      </c>
      <c r="X866" s="85">
        <f>Datasheet!X269</f>
        <v>2645</v>
      </c>
      <c r="Y866" s="85">
        <f>Datasheet!Y269</f>
        <v>2620</v>
      </c>
      <c r="Z866" s="85">
        <f>Datasheet!Z269</f>
        <v>2692</v>
      </c>
      <c r="AA866" s="85">
        <f>Datasheet!AA269</f>
        <v>0</v>
      </c>
      <c r="AB866" s="85">
        <f>Datasheet!AB269</f>
        <v>0</v>
      </c>
      <c r="AC866" s="85">
        <f>Datasheet!AC269</f>
        <v>0</v>
      </c>
      <c r="AD866" s="85">
        <f>Datasheet!AD269</f>
        <v>0</v>
      </c>
      <c r="AE866" s="85">
        <f>Datasheet!AE269</f>
        <v>0</v>
      </c>
      <c r="AF866" s="85">
        <f>Datasheet!AF269</f>
        <v>0</v>
      </c>
      <c r="AG866" s="85">
        <f>Datasheet!AG269</f>
        <v>0</v>
      </c>
      <c r="AH866" s="85">
        <f>Datasheet!AH269</f>
        <v>0</v>
      </c>
      <c r="AI866" s="85">
        <f>Datasheet!AI269</f>
        <v>0</v>
      </c>
      <c r="AJ866" s="85">
        <f>Datasheet!AJ269</f>
        <v>0</v>
      </c>
      <c r="AK866" s="85">
        <f>Datasheet!AK269</f>
        <v>0</v>
      </c>
    </row>
    <row r="867" spans="1:37" s="92" customFormat="1" x14ac:dyDescent="0.25"/>
    <row r="868" spans="1:37" s="98" customFormat="1" ht="17.25" x14ac:dyDescent="0.3">
      <c r="A868" s="98" t="s">
        <v>411</v>
      </c>
    </row>
    <row r="869" spans="1:37" x14ac:dyDescent="0.25">
      <c r="B869" s="64" t="s">
        <v>33</v>
      </c>
      <c r="C869" t="s">
        <v>336</v>
      </c>
    </row>
    <row r="870" spans="1:37" x14ac:dyDescent="0.25">
      <c r="B870" s="64" t="s">
        <v>626</v>
      </c>
      <c r="C870" t="s">
        <v>1616</v>
      </c>
    </row>
    <row r="871" spans="1:37" x14ac:dyDescent="0.25">
      <c r="B871" s="64" t="s">
        <v>420</v>
      </c>
      <c r="C871" t="s">
        <v>863</v>
      </c>
    </row>
    <row r="872" spans="1:37" x14ac:dyDescent="0.25">
      <c r="B872" s="64" t="s">
        <v>429</v>
      </c>
      <c r="C872" s="195" t="s">
        <v>864</v>
      </c>
    </row>
    <row r="873" spans="1:37" x14ac:dyDescent="0.25">
      <c r="B873" s="64" t="s">
        <v>421</v>
      </c>
      <c r="C873" t="s">
        <v>865</v>
      </c>
    </row>
    <row r="874" spans="1:37" x14ac:dyDescent="0.25">
      <c r="B874" s="64" t="s">
        <v>425</v>
      </c>
      <c r="C874" t="s">
        <v>866</v>
      </c>
    </row>
    <row r="875" spans="1:37" x14ac:dyDescent="0.25">
      <c r="B875" s="64" t="s">
        <v>333</v>
      </c>
      <c r="C875" t="s">
        <v>866</v>
      </c>
    </row>
    <row r="876" spans="1:37" s="121" customFormat="1" ht="15.75" thickBot="1" x14ac:dyDescent="0.3">
      <c r="B876" s="130" t="s">
        <v>334</v>
      </c>
      <c r="C876" s="121" t="s">
        <v>866</v>
      </c>
    </row>
    <row r="877" spans="1:37" s="9" customFormat="1" ht="15.75" thickTop="1" x14ac:dyDescent="0.25">
      <c r="B877" s="66" t="s">
        <v>34</v>
      </c>
      <c r="C877" s="51"/>
      <c r="I877" s="97"/>
      <c r="J877" s="97"/>
      <c r="K877" s="97"/>
      <c r="L877" s="97"/>
      <c r="M877" s="97"/>
      <c r="N877" s="97"/>
      <c r="O877" s="97"/>
      <c r="P877" s="97"/>
      <c r="Q877" s="97"/>
      <c r="R877" s="97"/>
      <c r="S877" s="97"/>
      <c r="T877" s="97"/>
      <c r="U877" s="97"/>
      <c r="V877" s="97"/>
      <c r="W877" s="97"/>
      <c r="X877" s="97"/>
      <c r="Y877" s="97"/>
      <c r="Z877" s="97"/>
      <c r="AA877" s="97"/>
      <c r="AB877" s="97"/>
      <c r="AC877" s="97"/>
      <c r="AD877" s="97"/>
      <c r="AE877" s="97"/>
      <c r="AF877" s="97"/>
      <c r="AG877" s="97"/>
      <c r="AH877" s="97"/>
      <c r="AI877" s="97"/>
      <c r="AJ877" s="97"/>
      <c r="AK877" s="97"/>
    </row>
    <row r="878" spans="1:37" s="92" customFormat="1" x14ac:dyDescent="0.25"/>
    <row r="879" spans="1:37" s="98" customFormat="1" ht="17.25" x14ac:dyDescent="0.3">
      <c r="A879" s="98" t="s">
        <v>328</v>
      </c>
    </row>
    <row r="880" spans="1:37" x14ac:dyDescent="0.25">
      <c r="B880" s="64" t="s">
        <v>33</v>
      </c>
      <c r="C880" t="s">
        <v>336</v>
      </c>
    </row>
    <row r="881" spans="2:37" x14ac:dyDescent="0.25">
      <c r="B881" s="64" t="s">
        <v>626</v>
      </c>
      <c r="C881" t="s">
        <v>848</v>
      </c>
    </row>
    <row r="882" spans="2:37" x14ac:dyDescent="0.25">
      <c r="B882" s="64" t="s">
        <v>420</v>
      </c>
      <c r="C882" t="s">
        <v>556</v>
      </c>
    </row>
    <row r="883" spans="2:37" x14ac:dyDescent="0.25">
      <c r="B883" s="64" t="s">
        <v>429</v>
      </c>
      <c r="C883" s="195" t="s">
        <v>328</v>
      </c>
    </row>
    <row r="884" spans="2:37" x14ac:dyDescent="0.25">
      <c r="B884" s="64"/>
      <c r="C884" s="195" t="s">
        <v>1617</v>
      </c>
    </row>
    <row r="885" spans="2:37" x14ac:dyDescent="0.25">
      <c r="B885" s="64" t="s">
        <v>421</v>
      </c>
      <c r="C885" t="s">
        <v>557</v>
      </c>
    </row>
    <row r="886" spans="2:37" x14ac:dyDescent="0.25">
      <c r="B886" s="64" t="s">
        <v>425</v>
      </c>
      <c r="C886" t="s">
        <v>1321</v>
      </c>
    </row>
    <row r="887" spans="2:37" x14ac:dyDescent="0.25">
      <c r="B887" s="64" t="s">
        <v>333</v>
      </c>
      <c r="C887" t="s">
        <v>558</v>
      </c>
    </row>
    <row r="888" spans="2:37" x14ac:dyDescent="0.25">
      <c r="B888" s="64" t="s">
        <v>334</v>
      </c>
      <c r="C888" t="s">
        <v>559</v>
      </c>
    </row>
    <row r="889" spans="2:37" s="121" customFormat="1" ht="15.75" thickBot="1" x14ac:dyDescent="0.3">
      <c r="B889" s="130"/>
      <c r="C889" s="121" t="s">
        <v>849</v>
      </c>
    </row>
    <row r="890" spans="2:37" s="9" customFormat="1" ht="15.75" thickTop="1" x14ac:dyDescent="0.25">
      <c r="B890" s="66"/>
      <c r="C890" s="51"/>
      <c r="I890" s="97"/>
      <c r="J890" s="97"/>
      <c r="K890" s="97"/>
      <c r="L890" s="97"/>
      <c r="M890" s="97"/>
      <c r="N890" s="97"/>
      <c r="O890" s="97"/>
      <c r="P890" s="97"/>
      <c r="Q890" s="97"/>
      <c r="R890" s="97"/>
      <c r="S890" s="97"/>
      <c r="T890" s="97"/>
      <c r="U890" s="97"/>
      <c r="V890" s="97"/>
      <c r="W890" s="97"/>
      <c r="X890" s="97"/>
      <c r="Y890" s="97"/>
      <c r="Z890" s="97"/>
      <c r="AA890" s="97"/>
      <c r="AB890" s="97"/>
      <c r="AC890" s="97"/>
      <c r="AD890" s="97"/>
      <c r="AE890" s="97"/>
      <c r="AF890" s="97"/>
      <c r="AG890" s="97"/>
      <c r="AH890" s="97"/>
      <c r="AI890" s="97"/>
      <c r="AJ890" s="97"/>
      <c r="AK890" s="97"/>
    </row>
    <row r="891" spans="2:37" s="9" customFormat="1" x14ac:dyDescent="0.25">
      <c r="B891" s="66"/>
      <c r="C891" s="51"/>
      <c r="I891" s="97"/>
      <c r="J891" s="97"/>
      <c r="K891" s="97"/>
      <c r="L891" s="97"/>
      <c r="M891" s="97"/>
      <c r="N891" s="97"/>
      <c r="O891" s="97"/>
      <c r="P891" s="97"/>
      <c r="Q891" s="97"/>
      <c r="R891" s="97"/>
      <c r="S891" s="97"/>
      <c r="T891" s="97"/>
      <c r="U891" s="97"/>
      <c r="V891" s="97"/>
      <c r="W891" s="97"/>
      <c r="X891" s="97"/>
      <c r="Y891" s="97"/>
      <c r="Z891" s="97"/>
      <c r="AA891" s="97"/>
      <c r="AB891" s="97"/>
      <c r="AC891" s="97"/>
      <c r="AD891" s="97"/>
      <c r="AE891" s="97"/>
      <c r="AF891" s="97"/>
      <c r="AG891" s="97"/>
      <c r="AH891" s="97"/>
      <c r="AI891" s="97"/>
      <c r="AJ891" s="97"/>
      <c r="AK891" s="97"/>
    </row>
    <row r="892" spans="2:37" s="9" customFormat="1" x14ac:dyDescent="0.25">
      <c r="B892" s="66"/>
      <c r="C892" s="51"/>
      <c r="I892" s="97"/>
      <c r="J892" s="97"/>
      <c r="K892" s="97"/>
      <c r="L892" s="97"/>
      <c r="M892" s="97"/>
      <c r="N892" s="97"/>
      <c r="O892" s="97"/>
      <c r="P892" s="97"/>
      <c r="Q892" s="97"/>
      <c r="R892" s="97"/>
      <c r="S892" s="97"/>
      <c r="T892" s="97"/>
      <c r="U892" s="97"/>
      <c r="V892" s="97"/>
      <c r="W892" s="97"/>
      <c r="X892" s="97"/>
      <c r="Y892" s="97"/>
      <c r="Z892" s="97"/>
      <c r="AA892" s="97"/>
      <c r="AB892" s="97"/>
      <c r="AC892" s="97"/>
      <c r="AD892" s="97"/>
      <c r="AE892" s="97"/>
      <c r="AF892" s="97"/>
      <c r="AG892" s="97"/>
      <c r="AH892" s="97"/>
      <c r="AI892" s="97"/>
      <c r="AJ892" s="97"/>
      <c r="AK892" s="97"/>
    </row>
    <row r="893" spans="2:37" s="9" customFormat="1" x14ac:dyDescent="0.25">
      <c r="B893" s="66"/>
      <c r="C893" s="51"/>
      <c r="I893" s="97"/>
      <c r="J893" s="97"/>
      <c r="K893" s="97"/>
      <c r="L893" s="97"/>
      <c r="M893" s="97"/>
      <c r="N893" s="97"/>
      <c r="O893" s="97"/>
      <c r="P893" s="97"/>
      <c r="Q893" s="97"/>
      <c r="R893" s="97"/>
      <c r="S893" s="97"/>
      <c r="T893" s="97"/>
      <c r="U893" s="97"/>
      <c r="V893" s="97"/>
      <c r="W893" s="97"/>
      <c r="X893" s="97"/>
      <c r="Y893" s="97"/>
      <c r="Z893" s="97"/>
      <c r="AA893" s="97"/>
      <c r="AB893" s="97"/>
      <c r="AC893" s="97"/>
      <c r="AD893" s="97"/>
      <c r="AE893" s="97"/>
      <c r="AF893" s="97"/>
      <c r="AG893" s="97"/>
      <c r="AH893" s="97"/>
      <c r="AI893" s="97"/>
      <c r="AJ893" s="97"/>
      <c r="AK893" s="97"/>
    </row>
    <row r="894" spans="2:37" s="9" customFormat="1" x14ac:dyDescent="0.25">
      <c r="B894" s="66"/>
      <c r="C894" s="51"/>
      <c r="I894" s="97"/>
      <c r="J894" s="97"/>
      <c r="K894" s="97"/>
      <c r="L894" s="97"/>
      <c r="M894" s="97"/>
      <c r="N894" s="97"/>
      <c r="O894" s="97"/>
      <c r="P894" s="97"/>
      <c r="Q894" s="97"/>
      <c r="R894" s="97"/>
      <c r="S894" s="97"/>
      <c r="T894" s="97"/>
      <c r="U894" s="97"/>
      <c r="V894" s="97"/>
      <c r="W894" s="97"/>
      <c r="X894" s="97"/>
      <c r="Y894" s="97"/>
      <c r="Z894" s="97"/>
      <c r="AA894" s="97"/>
      <c r="AB894" s="97"/>
      <c r="AC894" s="97"/>
      <c r="AD894" s="97"/>
      <c r="AE894" s="97"/>
      <c r="AF894" s="97"/>
      <c r="AG894" s="97"/>
      <c r="AH894" s="97"/>
      <c r="AI894" s="97"/>
      <c r="AJ894" s="97"/>
      <c r="AK894" s="97"/>
    </row>
    <row r="895" spans="2:37" s="9" customFormat="1" x14ac:dyDescent="0.25">
      <c r="B895" s="66"/>
      <c r="C895" s="51"/>
      <c r="I895" s="97"/>
      <c r="J895" s="97"/>
      <c r="K895" s="97"/>
      <c r="L895" s="97"/>
      <c r="M895" s="97"/>
      <c r="N895" s="97"/>
      <c r="O895" s="97"/>
      <c r="P895" s="97"/>
      <c r="Q895" s="97"/>
      <c r="R895" s="97"/>
      <c r="S895" s="97"/>
      <c r="T895" s="97"/>
      <c r="U895" s="97"/>
      <c r="V895" s="97"/>
      <c r="W895" s="97"/>
      <c r="X895" s="97"/>
      <c r="Y895" s="97"/>
      <c r="Z895" s="97"/>
      <c r="AA895" s="97"/>
      <c r="AB895" s="97"/>
      <c r="AC895" s="97"/>
      <c r="AD895" s="97"/>
      <c r="AE895" s="97"/>
      <c r="AF895" s="97"/>
      <c r="AG895" s="97"/>
      <c r="AH895" s="97"/>
      <c r="AI895" s="97"/>
      <c r="AJ895" s="97"/>
      <c r="AK895" s="97"/>
    </row>
    <row r="896" spans="2:37" s="9" customFormat="1" x14ac:dyDescent="0.25">
      <c r="B896" s="66"/>
      <c r="C896" s="51"/>
      <c r="I896" s="97"/>
      <c r="J896" s="97"/>
      <c r="K896" s="97"/>
      <c r="L896" s="97"/>
      <c r="M896" s="97"/>
      <c r="N896" s="97"/>
      <c r="O896" s="97"/>
      <c r="P896" s="97"/>
      <c r="Q896" s="97"/>
      <c r="R896" s="97"/>
      <c r="S896" s="97"/>
      <c r="T896" s="97"/>
      <c r="U896" s="97"/>
      <c r="V896" s="97"/>
      <c r="W896" s="97"/>
      <c r="X896" s="97"/>
      <c r="Y896" s="97"/>
      <c r="Z896" s="97"/>
      <c r="AA896" s="97"/>
      <c r="AB896" s="97"/>
      <c r="AC896" s="97"/>
      <c r="AD896" s="97"/>
      <c r="AE896" s="97"/>
      <c r="AF896" s="97"/>
      <c r="AG896" s="97"/>
      <c r="AH896" s="97"/>
      <c r="AI896" s="97"/>
      <c r="AJ896" s="97"/>
      <c r="AK896" s="97"/>
    </row>
    <row r="897" spans="2:37" s="9" customFormat="1" x14ac:dyDescent="0.25">
      <c r="B897" s="66"/>
      <c r="C897" s="51"/>
      <c r="I897" s="97"/>
      <c r="J897" s="97"/>
      <c r="K897" s="97"/>
      <c r="L897" s="97"/>
      <c r="M897" s="97"/>
      <c r="N897" s="97"/>
      <c r="O897" s="97"/>
      <c r="P897" s="97"/>
      <c r="Q897" s="97"/>
      <c r="R897" s="97"/>
      <c r="S897" s="97"/>
      <c r="T897" s="97"/>
      <c r="U897" s="97"/>
      <c r="V897" s="97"/>
      <c r="W897" s="97"/>
      <c r="X897" s="97"/>
      <c r="Y897" s="97"/>
      <c r="Z897" s="97"/>
      <c r="AA897" s="97"/>
      <c r="AB897" s="97"/>
      <c r="AC897" s="97"/>
      <c r="AD897" s="97"/>
      <c r="AE897" s="97"/>
      <c r="AF897" s="97"/>
      <c r="AG897" s="97"/>
      <c r="AH897" s="97"/>
      <c r="AI897" s="97"/>
      <c r="AJ897" s="97"/>
      <c r="AK897" s="97"/>
    </row>
    <row r="898" spans="2:37" s="9" customFormat="1" x14ac:dyDescent="0.25">
      <c r="B898" s="66"/>
      <c r="C898" s="51"/>
      <c r="I898" s="97"/>
      <c r="J898" s="97"/>
      <c r="K898" s="97"/>
      <c r="L898" s="97"/>
      <c r="M898" s="97"/>
      <c r="N898" s="97"/>
      <c r="O898" s="97"/>
      <c r="P898" s="97"/>
      <c r="Q898" s="97"/>
      <c r="R898" s="97"/>
      <c r="S898" s="97"/>
      <c r="T898" s="97"/>
      <c r="U898" s="97"/>
      <c r="V898" s="97"/>
      <c r="W898" s="97"/>
      <c r="X898" s="97"/>
      <c r="Y898" s="97"/>
      <c r="Z898" s="97"/>
      <c r="AA898" s="97"/>
      <c r="AB898" s="97"/>
      <c r="AC898" s="97"/>
      <c r="AD898" s="97"/>
      <c r="AE898" s="97"/>
      <c r="AF898" s="97"/>
      <c r="AG898" s="97"/>
      <c r="AH898" s="97"/>
      <c r="AI898" s="97"/>
      <c r="AJ898" s="97"/>
      <c r="AK898" s="97"/>
    </row>
    <row r="899" spans="2:37" s="9" customFormat="1" x14ac:dyDescent="0.25">
      <c r="B899" s="66"/>
      <c r="C899" s="51"/>
      <c r="I899" s="97"/>
      <c r="J899" s="97"/>
      <c r="K899" s="97"/>
      <c r="L899" s="97"/>
      <c r="M899" s="97"/>
      <c r="N899" s="97"/>
      <c r="O899" s="97"/>
      <c r="P899" s="97"/>
      <c r="Q899" s="97"/>
      <c r="R899" s="97"/>
      <c r="S899" s="97"/>
      <c r="T899" s="97"/>
      <c r="U899" s="97"/>
      <c r="V899" s="97"/>
      <c r="W899" s="97"/>
      <c r="X899" s="97"/>
      <c r="Y899" s="97"/>
      <c r="Z899" s="97"/>
      <c r="AA899" s="97"/>
      <c r="AB899" s="97"/>
      <c r="AC899" s="97"/>
      <c r="AD899" s="97"/>
      <c r="AE899" s="97"/>
      <c r="AF899" s="97"/>
      <c r="AG899" s="97"/>
      <c r="AH899" s="97"/>
      <c r="AI899" s="97"/>
      <c r="AJ899" s="97"/>
      <c r="AK899" s="97"/>
    </row>
    <row r="900" spans="2:37" s="9" customFormat="1" x14ac:dyDescent="0.25">
      <c r="B900" s="66"/>
      <c r="C900" s="51"/>
      <c r="I900" s="97"/>
      <c r="J900" s="97"/>
      <c r="K900" s="97"/>
      <c r="L900" s="97"/>
      <c r="M900" s="97"/>
      <c r="N900" s="97"/>
      <c r="O900" s="97"/>
      <c r="P900" s="97"/>
      <c r="Q900" s="97"/>
      <c r="R900" s="97"/>
      <c r="S900" s="97"/>
      <c r="T900" s="97"/>
      <c r="U900" s="97"/>
      <c r="V900" s="97"/>
      <c r="W900" s="97"/>
      <c r="X900" s="97"/>
      <c r="Y900" s="97"/>
      <c r="Z900" s="97"/>
      <c r="AA900" s="97"/>
      <c r="AB900" s="97"/>
      <c r="AC900" s="97"/>
      <c r="AD900" s="97"/>
      <c r="AE900" s="97"/>
      <c r="AF900" s="97"/>
      <c r="AG900" s="97"/>
      <c r="AH900" s="97"/>
      <c r="AI900" s="97"/>
      <c r="AJ900" s="97"/>
      <c r="AK900" s="97"/>
    </row>
    <row r="901" spans="2:37" s="9" customFormat="1" x14ac:dyDescent="0.25">
      <c r="B901" s="66"/>
      <c r="C901" s="51"/>
      <c r="I901" s="97"/>
      <c r="J901" s="97"/>
      <c r="K901" s="97"/>
      <c r="L901" s="97"/>
      <c r="M901" s="97"/>
      <c r="N901" s="97"/>
      <c r="O901" s="97"/>
      <c r="P901" s="97"/>
      <c r="Q901" s="97"/>
      <c r="R901" s="97"/>
      <c r="S901" s="97"/>
      <c r="T901" s="97"/>
      <c r="U901" s="97"/>
      <c r="V901" s="97"/>
      <c r="W901" s="97"/>
      <c r="X901" s="97"/>
      <c r="Y901" s="97"/>
      <c r="Z901" s="97"/>
      <c r="AA901" s="97"/>
      <c r="AB901" s="97"/>
      <c r="AC901" s="97"/>
      <c r="AD901" s="97"/>
      <c r="AE901" s="97"/>
      <c r="AF901" s="97"/>
      <c r="AG901" s="97"/>
      <c r="AH901" s="97"/>
      <c r="AI901" s="97"/>
      <c r="AJ901" s="97"/>
      <c r="AK901" s="97"/>
    </row>
    <row r="902" spans="2:37" s="9" customFormat="1" x14ac:dyDescent="0.25">
      <c r="B902" s="66"/>
      <c r="C902" s="51"/>
      <c r="I902" s="97"/>
      <c r="J902" s="97"/>
      <c r="K902" s="97"/>
      <c r="L902" s="97"/>
      <c r="M902" s="97"/>
      <c r="N902" s="97"/>
      <c r="O902" s="97"/>
      <c r="P902" s="97"/>
      <c r="Q902" s="97"/>
      <c r="R902" s="97"/>
      <c r="S902" s="97"/>
      <c r="T902" s="97"/>
      <c r="U902" s="97"/>
      <c r="V902" s="97"/>
      <c r="W902" s="97"/>
      <c r="X902" s="97"/>
      <c r="Y902" s="97"/>
      <c r="Z902" s="97"/>
      <c r="AA902" s="97"/>
      <c r="AB902" s="97"/>
      <c r="AC902" s="97"/>
      <c r="AD902" s="97"/>
      <c r="AE902" s="97"/>
      <c r="AF902" s="97"/>
      <c r="AG902" s="97"/>
      <c r="AH902" s="97"/>
      <c r="AI902" s="97"/>
      <c r="AJ902" s="97"/>
      <c r="AK902" s="97"/>
    </row>
    <row r="903" spans="2:37" s="9" customFormat="1" x14ac:dyDescent="0.25">
      <c r="B903" s="66"/>
      <c r="C903" s="51"/>
      <c r="I903" s="97"/>
      <c r="J903" s="97"/>
      <c r="K903" s="97"/>
      <c r="L903" s="97"/>
      <c r="M903" s="97"/>
      <c r="N903" s="97"/>
      <c r="O903" s="97"/>
      <c r="P903" s="97"/>
      <c r="Q903" s="97"/>
      <c r="R903" s="97"/>
      <c r="S903" s="97"/>
      <c r="T903" s="97"/>
      <c r="U903" s="97"/>
      <c r="V903" s="97"/>
      <c r="W903" s="97"/>
      <c r="X903" s="97"/>
      <c r="Y903" s="97"/>
      <c r="Z903" s="97"/>
      <c r="AA903" s="97"/>
      <c r="AB903" s="97"/>
      <c r="AC903" s="97"/>
      <c r="AD903" s="97"/>
      <c r="AE903" s="97"/>
      <c r="AF903" s="97"/>
      <c r="AG903" s="97"/>
      <c r="AH903" s="97"/>
      <c r="AI903" s="97"/>
      <c r="AJ903" s="97"/>
      <c r="AK903" s="97"/>
    </row>
    <row r="904" spans="2:37" s="9" customFormat="1" x14ac:dyDescent="0.25">
      <c r="B904" s="66"/>
      <c r="C904" s="51"/>
      <c r="I904" s="97"/>
      <c r="J904" s="97"/>
      <c r="K904" s="97"/>
      <c r="L904" s="97"/>
      <c r="M904" s="97"/>
      <c r="N904" s="97"/>
      <c r="O904" s="97"/>
      <c r="P904" s="97"/>
      <c r="Q904" s="97"/>
      <c r="R904" s="97"/>
      <c r="S904" s="97"/>
      <c r="T904" s="97"/>
      <c r="U904" s="97"/>
      <c r="V904" s="97"/>
      <c r="W904" s="97"/>
      <c r="X904" s="97"/>
      <c r="Y904" s="97"/>
      <c r="Z904" s="97"/>
      <c r="AA904" s="97"/>
      <c r="AB904" s="97"/>
      <c r="AC904" s="97"/>
      <c r="AD904" s="97"/>
      <c r="AE904" s="97"/>
      <c r="AF904" s="97"/>
      <c r="AG904" s="97"/>
      <c r="AH904" s="97"/>
      <c r="AI904" s="97"/>
      <c r="AJ904" s="97"/>
      <c r="AK904" s="97"/>
    </row>
    <row r="905" spans="2:37" s="9" customFormat="1" x14ac:dyDescent="0.25">
      <c r="B905" s="66" t="s">
        <v>34</v>
      </c>
      <c r="C905" s="51" t="s">
        <v>560</v>
      </c>
      <c r="H905" s="9" t="s">
        <v>1322</v>
      </c>
      <c r="I905" s="97">
        <f>Datasheet!I1141</f>
        <v>337450</v>
      </c>
      <c r="J905" s="97">
        <f>Datasheet!J1141</f>
        <v>363180</v>
      </c>
      <c r="K905" s="97">
        <f>Datasheet!K1141</f>
        <v>437923</v>
      </c>
      <c r="L905" s="97">
        <f>Datasheet!L1141</f>
        <v>530642</v>
      </c>
      <c r="M905" s="97">
        <f>Datasheet!M1141</f>
        <v>625874</v>
      </c>
      <c r="N905" s="97">
        <f>Datasheet!N1141</f>
        <v>712562</v>
      </c>
      <c r="O905" s="97">
        <f>Datasheet!O1141</f>
        <v>880898</v>
      </c>
      <c r="P905" s="97">
        <f>Datasheet!P1141</f>
        <v>817327</v>
      </c>
      <c r="Q905" s="97">
        <f>Datasheet!Q1141</f>
        <v>803942</v>
      </c>
      <c r="R905" s="97">
        <f>Datasheet!R1141</f>
        <v>838150</v>
      </c>
      <c r="S905" s="97">
        <f>Datasheet!S1141</f>
        <v>878833</v>
      </c>
      <c r="T905" s="97">
        <f>Datasheet!T1141</f>
        <v>905794</v>
      </c>
      <c r="U905" s="97">
        <f>Datasheet!U1141</f>
        <v>982131</v>
      </c>
      <c r="V905" s="97">
        <f>Datasheet!V1141</f>
        <v>936245</v>
      </c>
      <c r="W905" s="97">
        <f>Datasheet!W1141</f>
        <v>981599</v>
      </c>
      <c r="X905" s="97">
        <f>Datasheet!X1141</f>
        <v>1019392</v>
      </c>
      <c r="Y905" s="97">
        <f>Datasheet!Y1141</f>
        <v>1071652</v>
      </c>
      <c r="Z905" s="97">
        <f>Datasheet!Z1141</f>
        <v>1098706</v>
      </c>
      <c r="AA905" s="97">
        <f>Datasheet!AA1141</f>
        <v>589568</v>
      </c>
      <c r="AB905" s="97">
        <f>Datasheet!AB1141</f>
        <v>0</v>
      </c>
      <c r="AC905" s="97">
        <f>Datasheet!AC1141</f>
        <v>0</v>
      </c>
      <c r="AD905" s="97">
        <f>Datasheet!AD1141</f>
        <v>0</v>
      </c>
      <c r="AE905" s="97">
        <f>Datasheet!AE1141</f>
        <v>0</v>
      </c>
      <c r="AF905" s="97">
        <f>Datasheet!AF1141</f>
        <v>0</v>
      </c>
      <c r="AG905" s="97">
        <f>Datasheet!AG1141</f>
        <v>0</v>
      </c>
      <c r="AH905" s="97">
        <f>Datasheet!AH1141</f>
        <v>0</v>
      </c>
      <c r="AI905" s="97">
        <f>Datasheet!AI1141</f>
        <v>0</v>
      </c>
      <c r="AJ905" s="97">
        <f>Datasheet!AJ1141</f>
        <v>0</v>
      </c>
      <c r="AK905" s="97">
        <f>Datasheet!AK1141</f>
        <v>0</v>
      </c>
    </row>
    <row r="906" spans="2:37" s="9" customFormat="1" x14ac:dyDescent="0.25">
      <c r="B906" s="66"/>
      <c r="C906" s="51"/>
      <c r="D906" s="9" t="s">
        <v>561</v>
      </c>
      <c r="I906" s="97"/>
      <c r="J906" s="97"/>
      <c r="K906" s="97"/>
      <c r="L906" s="97"/>
      <c r="M906" s="97"/>
      <c r="N906" s="97"/>
      <c r="O906" s="97"/>
      <c r="P906" s="97"/>
      <c r="Q906" s="97"/>
      <c r="R906" s="97"/>
      <c r="S906" s="97"/>
      <c r="T906" s="97"/>
      <c r="U906" s="97"/>
      <c r="V906" s="97"/>
      <c r="W906" s="97"/>
      <c r="X906" s="97"/>
      <c r="Y906" s="97"/>
      <c r="Z906" s="97"/>
      <c r="AA906" s="97"/>
      <c r="AB906" s="97"/>
      <c r="AC906" s="97"/>
      <c r="AD906" s="97"/>
      <c r="AE906" s="97"/>
      <c r="AF906" s="97"/>
      <c r="AG906" s="97"/>
      <c r="AH906" s="97"/>
      <c r="AI906" s="97"/>
      <c r="AJ906" s="97"/>
      <c r="AK906" s="97"/>
    </row>
    <row r="907" spans="2:37" s="9" customFormat="1" x14ac:dyDescent="0.25">
      <c r="B907" s="66"/>
      <c r="C907" s="51"/>
      <c r="E907" s="9" t="s">
        <v>462</v>
      </c>
      <c r="H907" s="9" t="s">
        <v>1323</v>
      </c>
      <c r="I907" s="133"/>
      <c r="J907" s="133"/>
      <c r="K907" s="133"/>
      <c r="L907" s="133"/>
      <c r="M907" s="133"/>
      <c r="N907" s="133"/>
      <c r="O907" s="133"/>
      <c r="P907" s="133"/>
      <c r="Q907" s="133">
        <f>AVERAGE(Q915:Q918)</f>
        <v>0.85108699901639828</v>
      </c>
      <c r="R907" s="133">
        <f t="shared" ref="R907:AK907" si="155">AVERAGE(R915:R918)</f>
        <v>0.92261920048204837</v>
      </c>
      <c r="S907" s="133">
        <f t="shared" si="155"/>
        <v>0.95057306441648504</v>
      </c>
      <c r="T907" s="133">
        <f t="shared" si="155"/>
        <v>0.95860610753798037</v>
      </c>
      <c r="U907" s="133">
        <f t="shared" si="155"/>
        <v>1.0407010154143759</v>
      </c>
      <c r="V907" s="133">
        <f t="shared" si="155"/>
        <v>0.98425679773544505</v>
      </c>
      <c r="W907" s="133">
        <f t="shared" si="155"/>
        <v>1.0504989542613401</v>
      </c>
      <c r="X907" s="133">
        <f t="shared" si="155"/>
        <v>1.104890537912546</v>
      </c>
      <c r="Y907" s="133">
        <f t="shared" si="155"/>
        <v>1.164978215607047</v>
      </c>
      <c r="Z907" s="133">
        <f t="shared" si="155"/>
        <v>1.1725827556612765</v>
      </c>
      <c r="AA907" s="133" t="e">
        <f t="shared" si="155"/>
        <v>#DIV/0!</v>
      </c>
      <c r="AB907" s="133" t="e">
        <f t="shared" si="155"/>
        <v>#DIV/0!</v>
      </c>
      <c r="AC907" s="133" t="e">
        <f t="shared" si="155"/>
        <v>#DIV/0!</v>
      </c>
      <c r="AD907" s="133" t="e">
        <f t="shared" si="155"/>
        <v>#DIV/0!</v>
      </c>
      <c r="AE907" s="133" t="e">
        <f t="shared" si="155"/>
        <v>#DIV/0!</v>
      </c>
      <c r="AF907" s="133" t="e">
        <f t="shared" si="155"/>
        <v>#DIV/0!</v>
      </c>
      <c r="AG907" s="133" t="e">
        <f t="shared" si="155"/>
        <v>#DIV/0!</v>
      </c>
      <c r="AH907" s="133" t="e">
        <f t="shared" si="155"/>
        <v>#DIV/0!</v>
      </c>
      <c r="AI907" s="133" t="e">
        <f t="shared" si="155"/>
        <v>#DIV/0!</v>
      </c>
      <c r="AJ907" s="133" t="e">
        <f t="shared" si="155"/>
        <v>#DIV/0!</v>
      </c>
      <c r="AK907" s="133" t="e">
        <f t="shared" si="155"/>
        <v>#DIV/0!</v>
      </c>
    </row>
    <row r="908" spans="2:37" s="9" customFormat="1" x14ac:dyDescent="0.25">
      <c r="B908" s="66"/>
      <c r="C908" s="51"/>
      <c r="E908" s="9" t="s">
        <v>463</v>
      </c>
      <c r="H908" s="9" t="s">
        <v>1323</v>
      </c>
      <c r="I908" s="133"/>
      <c r="J908" s="133"/>
      <c r="K908" s="133"/>
      <c r="L908" s="133"/>
      <c r="M908" s="133"/>
      <c r="N908" s="133"/>
      <c r="O908" s="133"/>
      <c r="P908" s="133"/>
      <c r="Q908" s="133">
        <f>AVERAGE(Q910:Q912,Q921)</f>
        <v>2.8060999418862709</v>
      </c>
      <c r="R908" s="133">
        <f t="shared" ref="R908:AK908" si="156">AVERAGE(R910:R912,Q921)</f>
        <v>2.9294619413051359</v>
      </c>
      <c r="S908" s="133">
        <f t="shared" si="156"/>
        <v>2.8299535824428168</v>
      </c>
      <c r="T908" s="133">
        <f t="shared" si="156"/>
        <v>2.9261363825239481</v>
      </c>
      <c r="U908" s="133">
        <f t="shared" si="156"/>
        <v>2.994822922493432</v>
      </c>
      <c r="V908" s="133">
        <f t="shared" si="156"/>
        <v>2.9307308521609237</v>
      </c>
      <c r="W908" s="133">
        <f t="shared" si="156"/>
        <v>2.9250383430115741</v>
      </c>
      <c r="X908" s="133">
        <f t="shared" si="156"/>
        <v>2.8661039373907187</v>
      </c>
      <c r="Y908" s="133">
        <f t="shared" si="156"/>
        <v>3.0295171308398308</v>
      </c>
      <c r="Z908" s="133">
        <f t="shared" si="156"/>
        <v>3.0421146314598317</v>
      </c>
      <c r="AA908" s="133" t="e">
        <f t="shared" si="156"/>
        <v>#DIV/0!</v>
      </c>
      <c r="AB908" s="133" t="e">
        <f t="shared" si="156"/>
        <v>#DIV/0!</v>
      </c>
      <c r="AC908" s="133" t="e">
        <f t="shared" si="156"/>
        <v>#DIV/0!</v>
      </c>
      <c r="AD908" s="133" t="e">
        <f t="shared" si="156"/>
        <v>#DIV/0!</v>
      </c>
      <c r="AE908" s="133" t="e">
        <f t="shared" si="156"/>
        <v>#DIV/0!</v>
      </c>
      <c r="AF908" s="133" t="e">
        <f t="shared" si="156"/>
        <v>#DIV/0!</v>
      </c>
      <c r="AG908" s="133" t="e">
        <f t="shared" si="156"/>
        <v>#DIV/0!</v>
      </c>
      <c r="AH908" s="133" t="e">
        <f t="shared" si="156"/>
        <v>#DIV/0!</v>
      </c>
      <c r="AI908" s="133" t="e">
        <f t="shared" si="156"/>
        <v>#DIV/0!</v>
      </c>
      <c r="AJ908" s="133" t="e">
        <f t="shared" si="156"/>
        <v>#DIV/0!</v>
      </c>
      <c r="AK908" s="133" t="e">
        <f t="shared" si="156"/>
        <v>#DIV/0!</v>
      </c>
    </row>
    <row r="909" spans="2:37" s="9" customFormat="1" x14ac:dyDescent="0.25">
      <c r="B909" s="66"/>
      <c r="C909" s="51"/>
      <c r="E909" s="9" t="s">
        <v>464</v>
      </c>
      <c r="H909" s="9" t="s">
        <v>1323</v>
      </c>
      <c r="I909" s="133"/>
      <c r="J909" s="133"/>
      <c r="K909" s="133"/>
      <c r="L909" s="133"/>
      <c r="M909" s="133"/>
      <c r="N909" s="133"/>
      <c r="O909" s="133"/>
      <c r="P909" s="133"/>
      <c r="Q909" s="133">
        <f>AVERAGE(Q913:Q914,Q919:Q920)</f>
        <v>1.0470326784279342</v>
      </c>
      <c r="R909" s="133">
        <f t="shared" ref="R909:AK909" si="157">AVERAGE(R913:R914,R919:R920)</f>
        <v>1.1204519220145379</v>
      </c>
      <c r="S909" s="133">
        <f t="shared" si="157"/>
        <v>1.1185978176638836</v>
      </c>
      <c r="T909" s="133">
        <f t="shared" si="157"/>
        <v>1.1114229690313771</v>
      </c>
      <c r="U909" s="133">
        <f t="shared" si="157"/>
        <v>1.1167212742717827</v>
      </c>
      <c r="V909" s="133">
        <f t="shared" si="157"/>
        <v>0.97347625098906798</v>
      </c>
      <c r="W909" s="133">
        <f t="shared" si="157"/>
        <v>1.0021388553760777</v>
      </c>
      <c r="X909" s="133">
        <f t="shared" si="157"/>
        <v>1.1570140502328352</v>
      </c>
      <c r="Y909" s="133">
        <f t="shared" si="157"/>
        <v>1.1960647463970471</v>
      </c>
      <c r="Z909" s="133">
        <f t="shared" si="157"/>
        <v>1.3255255381623741</v>
      </c>
      <c r="AA909" s="133" t="e">
        <f t="shared" si="157"/>
        <v>#DIV/0!</v>
      </c>
      <c r="AB909" s="133" t="e">
        <f t="shared" si="157"/>
        <v>#DIV/0!</v>
      </c>
      <c r="AC909" s="133" t="e">
        <f t="shared" si="157"/>
        <v>#DIV/0!</v>
      </c>
      <c r="AD909" s="133" t="e">
        <f t="shared" si="157"/>
        <v>#DIV/0!</v>
      </c>
      <c r="AE909" s="133" t="e">
        <f t="shared" si="157"/>
        <v>#DIV/0!</v>
      </c>
      <c r="AF909" s="133" t="e">
        <f t="shared" si="157"/>
        <v>#DIV/0!</v>
      </c>
      <c r="AG909" s="133" t="e">
        <f t="shared" si="157"/>
        <v>#DIV/0!</v>
      </c>
      <c r="AH909" s="133" t="e">
        <f t="shared" si="157"/>
        <v>#DIV/0!</v>
      </c>
      <c r="AI909" s="133" t="e">
        <f t="shared" si="157"/>
        <v>#DIV/0!</v>
      </c>
      <c r="AJ909" s="133" t="e">
        <f t="shared" si="157"/>
        <v>#DIV/0!</v>
      </c>
      <c r="AK909" s="133" t="e">
        <f t="shared" si="157"/>
        <v>#DIV/0!</v>
      </c>
    </row>
    <row r="910" spans="2:37" s="9" customFormat="1" x14ac:dyDescent="0.25">
      <c r="B910" s="66"/>
      <c r="C910" s="51"/>
      <c r="F910" s="9" t="s">
        <v>314</v>
      </c>
      <c r="H910" s="9" t="s">
        <v>1323</v>
      </c>
      <c r="I910" s="133"/>
      <c r="J910" s="133"/>
      <c r="K910" s="133"/>
      <c r="L910" s="133"/>
      <c r="M910" s="133"/>
      <c r="N910" s="133"/>
      <c r="O910" s="133"/>
      <c r="P910" s="133"/>
      <c r="Q910" s="133">
        <f>Datasheet!Q1142/Q665</f>
        <v>2.8989978645048047</v>
      </c>
      <c r="R910" s="133">
        <f>Datasheet!R1142/R665</f>
        <v>3.0248539483340657</v>
      </c>
      <c r="S910" s="133">
        <f>Datasheet!S1142/S665</f>
        <v>3.0838411947375963</v>
      </c>
      <c r="T910" s="133">
        <f>Datasheet!T1142/T665</f>
        <v>3.2163224365510081</v>
      </c>
      <c r="U910" s="133">
        <f>Datasheet!U1142/U665</f>
        <v>3.1918199858011711</v>
      </c>
      <c r="V910" s="133">
        <f>Datasheet!V1142/V665</f>
        <v>3.2367579749327282</v>
      </c>
      <c r="W910" s="133">
        <f>Datasheet!W1142/W665</f>
        <v>3.1042290045385905</v>
      </c>
      <c r="X910" s="133">
        <f>Datasheet!X1142/X665</f>
        <v>3.0312228001418888</v>
      </c>
      <c r="Y910" s="133">
        <f>Datasheet!Y1142/Y665</f>
        <v>3.2367100443543575</v>
      </c>
      <c r="Z910" s="133">
        <f>Datasheet!Z1142/Z665</f>
        <v>3.2698915913805089</v>
      </c>
      <c r="AA910" s="133" t="e">
        <f>Datasheet!AA1142/AA665</f>
        <v>#DIV/0!</v>
      </c>
      <c r="AB910" s="133" t="e">
        <f>Datasheet!AB1142/AB665</f>
        <v>#DIV/0!</v>
      </c>
      <c r="AC910" s="133" t="e">
        <f>Datasheet!AC1142/AC665</f>
        <v>#DIV/0!</v>
      </c>
      <c r="AD910" s="133" t="e">
        <f>Datasheet!AD1142/AD665</f>
        <v>#DIV/0!</v>
      </c>
      <c r="AE910" s="133" t="e">
        <f>Datasheet!AE1142/AE665</f>
        <v>#DIV/0!</v>
      </c>
      <c r="AF910" s="133" t="e">
        <f>Datasheet!AF1142/AF665</f>
        <v>#DIV/0!</v>
      </c>
      <c r="AG910" s="133" t="e">
        <f>Datasheet!AG1142/AG665</f>
        <v>#DIV/0!</v>
      </c>
      <c r="AH910" s="133" t="e">
        <f>Datasheet!AH1142/AH665</f>
        <v>#DIV/0!</v>
      </c>
      <c r="AI910" s="133" t="e">
        <f>Datasheet!AI1142/AI665</f>
        <v>#DIV/0!</v>
      </c>
      <c r="AJ910" s="133" t="e">
        <f>Datasheet!AJ1142/AJ665</f>
        <v>#DIV/0!</v>
      </c>
      <c r="AK910" s="133" t="e">
        <f>Datasheet!AK1142/AK665</f>
        <v>#DIV/0!</v>
      </c>
    </row>
    <row r="911" spans="2:37" s="9" customFormat="1" x14ac:dyDescent="0.25">
      <c r="B911" s="66"/>
      <c r="C911" s="51"/>
      <c r="F911" s="9" t="s">
        <v>315</v>
      </c>
      <c r="H911" s="9" t="s">
        <v>1323</v>
      </c>
      <c r="I911" s="133"/>
      <c r="J911" s="133"/>
      <c r="K911" s="133"/>
      <c r="L911" s="133"/>
      <c r="M911" s="133"/>
      <c r="N911" s="133"/>
      <c r="O911" s="133"/>
      <c r="P911" s="133"/>
      <c r="Q911" s="133">
        <f>Datasheet!Q1143/Q666</f>
        <v>2.6188656271780477</v>
      </c>
      <c r="R911" s="133">
        <f>Datasheet!R1143/R666</f>
        <v>2.6425691801180959</v>
      </c>
      <c r="S911" s="133">
        <f>Datasheet!S1143/S666</f>
        <v>2.6473206411186117</v>
      </c>
      <c r="T911" s="133">
        <f>Datasheet!T1143/T666</f>
        <v>2.6319198976835212</v>
      </c>
      <c r="U911" s="133">
        <f>Datasheet!U1143/U666</f>
        <v>2.8109736018564613</v>
      </c>
      <c r="V911" s="133">
        <f>Datasheet!V1143/V666</f>
        <v>2.7197635824502728</v>
      </c>
      <c r="W911" s="133">
        <f>Datasheet!W1143/W666</f>
        <v>2.7743205964719349</v>
      </c>
      <c r="X911" s="133">
        <f>Datasheet!X1143/X666</f>
        <v>2.5634846069121378</v>
      </c>
      <c r="Y911" s="133">
        <f>Datasheet!Y1143/Y666</f>
        <v>2.8338520945085124</v>
      </c>
      <c r="Z911" s="133">
        <f>Datasheet!Z1143/Z666</f>
        <v>2.8195628630957872</v>
      </c>
      <c r="AA911" s="133" t="e">
        <f>Datasheet!AA1143/AA666</f>
        <v>#DIV/0!</v>
      </c>
      <c r="AB911" s="133" t="e">
        <f>Datasheet!AB1143/AB666</f>
        <v>#DIV/0!</v>
      </c>
      <c r="AC911" s="133" t="e">
        <f>Datasheet!AC1143/AC666</f>
        <v>#DIV/0!</v>
      </c>
      <c r="AD911" s="133" t="e">
        <f>Datasheet!AD1143/AD666</f>
        <v>#DIV/0!</v>
      </c>
      <c r="AE911" s="133" t="e">
        <f>Datasheet!AE1143/AE666</f>
        <v>#DIV/0!</v>
      </c>
      <c r="AF911" s="133" t="e">
        <f>Datasheet!AF1143/AF666</f>
        <v>#DIV/0!</v>
      </c>
      <c r="AG911" s="133" t="e">
        <f>Datasheet!AG1143/AG666</f>
        <v>#DIV/0!</v>
      </c>
      <c r="AH911" s="133" t="e">
        <f>Datasheet!AH1143/AH666</f>
        <v>#DIV/0!</v>
      </c>
      <c r="AI911" s="133" t="e">
        <f>Datasheet!AI1143/AI666</f>
        <v>#DIV/0!</v>
      </c>
      <c r="AJ911" s="133" t="e">
        <f>Datasheet!AJ1143/AJ666</f>
        <v>#DIV/0!</v>
      </c>
      <c r="AK911" s="133" t="e">
        <f>Datasheet!AK1143/AK666</f>
        <v>#DIV/0!</v>
      </c>
    </row>
    <row r="912" spans="2:37" s="9" customFormat="1" x14ac:dyDescent="0.25">
      <c r="B912" s="66"/>
      <c r="C912" s="51"/>
      <c r="F912" s="9" t="s">
        <v>316</v>
      </c>
      <c r="H912" s="9" t="s">
        <v>1323</v>
      </c>
      <c r="I912" s="133"/>
      <c r="J912" s="133"/>
      <c r="K912" s="133"/>
      <c r="L912" s="133"/>
      <c r="M912" s="133"/>
      <c r="N912" s="133"/>
      <c r="O912" s="133"/>
      <c r="P912" s="133"/>
      <c r="Q912" s="133">
        <f>Datasheet!Q1144/Q667</f>
        <v>2.6456744681462268</v>
      </c>
      <c r="R912" s="133">
        <f>Datasheet!R1144/R667</f>
        <v>2.9895628290523781</v>
      </c>
      <c r="S912" s="133">
        <f>Datasheet!S1144/S667</f>
        <v>2.7764138418441617</v>
      </c>
      <c r="T912" s="133">
        <f>Datasheet!T1144/T667</f>
        <v>2.8466511184570118</v>
      </c>
      <c r="U912" s="133">
        <f>Datasheet!U1144/U667</f>
        <v>2.8627543251271099</v>
      </c>
      <c r="V912" s="133">
        <f>Datasheet!V1144/V667</f>
        <v>2.6979549247619317</v>
      </c>
      <c r="W912" s="133">
        <f>Datasheet!W1144/W667</f>
        <v>2.7973391216007228</v>
      </c>
      <c r="X912" s="133">
        <f>Datasheet!X1144/X667</f>
        <v>2.8512936385056498</v>
      </c>
      <c r="Y912" s="133">
        <f>Datasheet!Y1144/Y667</f>
        <v>2.9907596160993486</v>
      </c>
      <c r="Z912" s="133">
        <f>Datasheet!Z1144/Z667</f>
        <v>2.9581961814994804</v>
      </c>
      <c r="AA912" s="133" t="e">
        <f>Datasheet!AA1144/AA667</f>
        <v>#DIV/0!</v>
      </c>
      <c r="AB912" s="133" t="e">
        <f>Datasheet!AB1144/AB667</f>
        <v>#DIV/0!</v>
      </c>
      <c r="AC912" s="133" t="e">
        <f>Datasheet!AC1144/AC667</f>
        <v>#DIV/0!</v>
      </c>
      <c r="AD912" s="133" t="e">
        <f>Datasheet!AD1144/AD667</f>
        <v>#DIV/0!</v>
      </c>
      <c r="AE912" s="133" t="e">
        <f>Datasheet!AE1144/AE667</f>
        <v>#DIV/0!</v>
      </c>
      <c r="AF912" s="133" t="e">
        <f>Datasheet!AF1144/AF667</f>
        <v>#DIV/0!</v>
      </c>
      <c r="AG912" s="133" t="e">
        <f>Datasheet!AG1144/AG667</f>
        <v>#DIV/0!</v>
      </c>
      <c r="AH912" s="133" t="e">
        <f>Datasheet!AH1144/AH667</f>
        <v>#DIV/0!</v>
      </c>
      <c r="AI912" s="133" t="e">
        <f>Datasheet!AI1144/AI667</f>
        <v>#DIV/0!</v>
      </c>
      <c r="AJ912" s="133" t="e">
        <f>Datasheet!AJ1144/AJ667</f>
        <v>#DIV/0!</v>
      </c>
      <c r="AK912" s="133" t="e">
        <f>Datasheet!AK1144/AK667</f>
        <v>#DIV/0!</v>
      </c>
    </row>
    <row r="913" spans="1:37" s="9" customFormat="1" x14ac:dyDescent="0.25">
      <c r="B913" s="66"/>
      <c r="C913" s="51"/>
      <c r="F913" s="9" t="s">
        <v>317</v>
      </c>
      <c r="H913" s="9" t="s">
        <v>1323</v>
      </c>
      <c r="I913" s="133"/>
      <c r="J913" s="133"/>
      <c r="K913" s="133"/>
      <c r="L913" s="133"/>
      <c r="M913" s="133"/>
      <c r="N913" s="133"/>
      <c r="O913" s="133"/>
      <c r="P913" s="133"/>
      <c r="Q913" s="133">
        <f>Datasheet!Q1145/Q668</f>
        <v>1.2049714596046066</v>
      </c>
      <c r="R913" s="133">
        <f>Datasheet!R1145/R668</f>
        <v>1.2357476921092336</v>
      </c>
      <c r="S913" s="133">
        <f>Datasheet!S1145/S668</f>
        <v>1.3439533779804904</v>
      </c>
      <c r="T913" s="133">
        <f>Datasheet!T1145/T668</f>
        <v>1.3781648260441737</v>
      </c>
      <c r="U913" s="133">
        <f>Datasheet!U1145/U668</f>
        <v>1.4034227030889475</v>
      </c>
      <c r="V913" s="133">
        <f>Datasheet!V1145/V668</f>
        <v>1.1083541282790599</v>
      </c>
      <c r="W913" s="133">
        <f>Datasheet!W1145/W668</f>
        <v>1.1337801165115371</v>
      </c>
      <c r="X913" s="133">
        <f>Datasheet!X1145/X668</f>
        <v>1.4286248051806656</v>
      </c>
      <c r="Y913" s="133">
        <f>Datasheet!Y1145/Y668</f>
        <v>1.4106341425368751</v>
      </c>
      <c r="Z913" s="133">
        <f>Datasheet!Z1145/Z668</f>
        <v>1.5034255045568623</v>
      </c>
      <c r="AA913" s="133" t="e">
        <f>Datasheet!AA1145/AA668</f>
        <v>#DIV/0!</v>
      </c>
      <c r="AB913" s="133" t="e">
        <f>Datasheet!AB1145/AB668</f>
        <v>#DIV/0!</v>
      </c>
      <c r="AC913" s="133" t="e">
        <f>Datasheet!AC1145/AC668</f>
        <v>#DIV/0!</v>
      </c>
      <c r="AD913" s="133" t="e">
        <f>Datasheet!AD1145/AD668</f>
        <v>#DIV/0!</v>
      </c>
      <c r="AE913" s="133" t="e">
        <f>Datasheet!AE1145/AE668</f>
        <v>#DIV/0!</v>
      </c>
      <c r="AF913" s="133" t="e">
        <f>Datasheet!AF1145/AF668</f>
        <v>#DIV/0!</v>
      </c>
      <c r="AG913" s="133" t="e">
        <f>Datasheet!AG1145/AG668</f>
        <v>#DIV/0!</v>
      </c>
      <c r="AH913" s="133" t="e">
        <f>Datasheet!AH1145/AH668</f>
        <v>#DIV/0!</v>
      </c>
      <c r="AI913" s="133" t="e">
        <f>Datasheet!AI1145/AI668</f>
        <v>#DIV/0!</v>
      </c>
      <c r="AJ913" s="133" t="e">
        <f>Datasheet!AJ1145/AJ668</f>
        <v>#DIV/0!</v>
      </c>
      <c r="AK913" s="133" t="e">
        <f>Datasheet!AK1145/AK668</f>
        <v>#DIV/0!</v>
      </c>
    </row>
    <row r="914" spans="1:37" s="9" customFormat="1" x14ac:dyDescent="0.25">
      <c r="B914" s="66"/>
      <c r="C914" s="51"/>
      <c r="F914" s="9" t="s">
        <v>318</v>
      </c>
      <c r="H914" s="9" t="s">
        <v>1323</v>
      </c>
      <c r="I914" s="133"/>
      <c r="J914" s="133"/>
      <c r="K914" s="133"/>
      <c r="L914" s="133"/>
      <c r="M914" s="133"/>
      <c r="N914" s="133"/>
      <c r="O914" s="133"/>
      <c r="P914" s="133"/>
      <c r="Q914" s="133">
        <f>Datasheet!Q1146/Q669</f>
        <v>0.95002511743206186</v>
      </c>
      <c r="R914" s="133">
        <f>Datasheet!R1146/R669</f>
        <v>1.0540621178713976</v>
      </c>
      <c r="S914" s="133">
        <f>Datasheet!S1146/S669</f>
        <v>0.94178239175368905</v>
      </c>
      <c r="T914" s="133">
        <f>Datasheet!T1146/T669</f>
        <v>1.0011035641126955</v>
      </c>
      <c r="U914" s="133">
        <f>Datasheet!U1146/U669</f>
        <v>1.0709580148487321</v>
      </c>
      <c r="V914" s="133">
        <f>Datasheet!V1146/V669</f>
        <v>0.86551829448666706</v>
      </c>
      <c r="W914" s="133">
        <f>Datasheet!W1146/W669</f>
        <v>0.87699335442147031</v>
      </c>
      <c r="X914" s="133">
        <f>Datasheet!X1146/X669</f>
        <v>0.94431042249517494</v>
      </c>
      <c r="Y914" s="133">
        <f>Datasheet!Y1146/Y669</f>
        <v>0.97888710037677407</v>
      </c>
      <c r="Z914" s="133">
        <f>Datasheet!Z1146/Z669</f>
        <v>0.99953844762334254</v>
      </c>
      <c r="AA914" s="133" t="e">
        <f>Datasheet!AA1146/AA669</f>
        <v>#DIV/0!</v>
      </c>
      <c r="AB914" s="133" t="e">
        <f>Datasheet!AB1146/AB669</f>
        <v>#DIV/0!</v>
      </c>
      <c r="AC914" s="133" t="e">
        <f>Datasheet!AC1146/AC669</f>
        <v>#DIV/0!</v>
      </c>
      <c r="AD914" s="133" t="e">
        <f>Datasheet!AD1146/AD669</f>
        <v>#DIV/0!</v>
      </c>
      <c r="AE914" s="133" t="e">
        <f>Datasheet!AE1146/AE669</f>
        <v>#DIV/0!</v>
      </c>
      <c r="AF914" s="133" t="e">
        <f>Datasheet!AF1146/AF669</f>
        <v>#DIV/0!</v>
      </c>
      <c r="AG914" s="133" t="e">
        <f>Datasheet!AG1146/AG669</f>
        <v>#DIV/0!</v>
      </c>
      <c r="AH914" s="133" t="e">
        <f>Datasheet!AH1146/AH669</f>
        <v>#DIV/0!</v>
      </c>
      <c r="AI914" s="133" t="e">
        <f>Datasheet!AI1146/AI669</f>
        <v>#DIV/0!</v>
      </c>
      <c r="AJ914" s="133" t="e">
        <f>Datasheet!AJ1146/AJ669</f>
        <v>#DIV/0!</v>
      </c>
      <c r="AK914" s="133" t="e">
        <f>Datasheet!AK1146/AK669</f>
        <v>#DIV/0!</v>
      </c>
    </row>
    <row r="915" spans="1:37" s="9" customFormat="1" x14ac:dyDescent="0.25">
      <c r="B915" s="66"/>
      <c r="C915" s="51"/>
      <c r="F915" s="9" t="s">
        <v>319</v>
      </c>
      <c r="H915" s="9" t="s">
        <v>1323</v>
      </c>
      <c r="I915" s="133"/>
      <c r="J915" s="133"/>
      <c r="K915" s="133"/>
      <c r="L915" s="133"/>
      <c r="M915" s="133"/>
      <c r="N915" s="133"/>
      <c r="O915" s="133"/>
      <c r="P915" s="133"/>
      <c r="Q915" s="133">
        <f>Datasheet!Q1147/Q670</f>
        <v>0.8432777763117385</v>
      </c>
      <c r="R915" s="133">
        <f>Datasheet!R1147/R670</f>
        <v>1.0158327051736331</v>
      </c>
      <c r="S915" s="133">
        <f>Datasheet!S1147/S670</f>
        <v>0.94759796972895904</v>
      </c>
      <c r="T915" s="133">
        <f>Datasheet!T1147/T670</f>
        <v>1.0018915078101112</v>
      </c>
      <c r="U915" s="133">
        <f>Datasheet!U1147/U670</f>
        <v>1.0798637107269387</v>
      </c>
      <c r="V915" s="133">
        <f>Datasheet!V1147/V670</f>
        <v>0.9806883504618843</v>
      </c>
      <c r="W915" s="133">
        <f>Datasheet!W1147/W670</f>
        <v>1.0146723619631555</v>
      </c>
      <c r="X915" s="133">
        <f>Datasheet!X1147/X670</f>
        <v>1.0931112428443401</v>
      </c>
      <c r="Y915" s="133">
        <f>Datasheet!Y1147/Y670</f>
        <v>1.1149528651117819</v>
      </c>
      <c r="Z915" s="133">
        <f>Datasheet!Z1147/Z670</f>
        <v>1.0436517999464312</v>
      </c>
      <c r="AA915" s="133" t="e">
        <f>Datasheet!AA1147/AA670</f>
        <v>#DIV/0!</v>
      </c>
      <c r="AB915" s="133" t="e">
        <f>Datasheet!AB1147/AB670</f>
        <v>#DIV/0!</v>
      </c>
      <c r="AC915" s="133" t="e">
        <f>Datasheet!AC1147/AC670</f>
        <v>#DIV/0!</v>
      </c>
      <c r="AD915" s="133" t="e">
        <f>Datasheet!AD1147/AD670</f>
        <v>#DIV/0!</v>
      </c>
      <c r="AE915" s="133" t="e">
        <f>Datasheet!AE1147/AE670</f>
        <v>#DIV/0!</v>
      </c>
      <c r="AF915" s="133" t="e">
        <f>Datasheet!AF1147/AF670</f>
        <v>#DIV/0!</v>
      </c>
      <c r="AG915" s="133" t="e">
        <f>Datasheet!AG1147/AG670</f>
        <v>#DIV/0!</v>
      </c>
      <c r="AH915" s="133" t="e">
        <f>Datasheet!AH1147/AH670</f>
        <v>#DIV/0!</v>
      </c>
      <c r="AI915" s="133" t="e">
        <f>Datasheet!AI1147/AI670</f>
        <v>#DIV/0!</v>
      </c>
      <c r="AJ915" s="133" t="e">
        <f>Datasheet!AJ1147/AJ670</f>
        <v>#DIV/0!</v>
      </c>
      <c r="AK915" s="133" t="e">
        <f>Datasheet!AK1147/AK670</f>
        <v>#DIV/0!</v>
      </c>
    </row>
    <row r="916" spans="1:37" s="9" customFormat="1" x14ac:dyDescent="0.25">
      <c r="B916" s="66"/>
      <c r="C916" s="51"/>
      <c r="F916" s="9" t="s">
        <v>320</v>
      </c>
      <c r="H916" s="9" t="s">
        <v>1323</v>
      </c>
      <c r="I916" s="133"/>
      <c r="J916" s="133"/>
      <c r="K916" s="133"/>
      <c r="L916" s="133"/>
      <c r="M916" s="133"/>
      <c r="N916" s="133"/>
      <c r="O916" s="133"/>
      <c r="P916" s="133"/>
      <c r="Q916" s="133">
        <f>Datasheet!Q1148/Q671</f>
        <v>0.88953357010645651</v>
      </c>
      <c r="R916" s="133">
        <f>Datasheet!R1148/R671</f>
        <v>0.9321772059184148</v>
      </c>
      <c r="S916" s="133">
        <f>Datasheet!S1148/S671</f>
        <v>0.98471091211504047</v>
      </c>
      <c r="T916" s="133">
        <f>Datasheet!T1148/T671</f>
        <v>1.0136032881621648</v>
      </c>
      <c r="U916" s="133">
        <f>Datasheet!U1148/U671</f>
        <v>1.085063198306536</v>
      </c>
      <c r="V916" s="133">
        <f>Datasheet!V1148/V671</f>
        <v>1.0785941022431043</v>
      </c>
      <c r="W916" s="133">
        <f>Datasheet!W1148/W671</f>
        <v>1.1143010435589003</v>
      </c>
      <c r="X916" s="133">
        <f>Datasheet!X1148/X671</f>
        <v>1.1980017375514267</v>
      </c>
      <c r="Y916" s="133">
        <f>Datasheet!Y1148/Y671</f>
        <v>1.2662446074540386</v>
      </c>
      <c r="Z916" s="133">
        <f>Datasheet!Z1148/Z671</f>
        <v>1.1699050878107229</v>
      </c>
      <c r="AA916" s="133" t="e">
        <f>Datasheet!AA1148/AA671</f>
        <v>#DIV/0!</v>
      </c>
      <c r="AB916" s="133" t="e">
        <f>Datasheet!AB1148/AB671</f>
        <v>#DIV/0!</v>
      </c>
      <c r="AC916" s="133" t="e">
        <f>Datasheet!AC1148/AC671</f>
        <v>#DIV/0!</v>
      </c>
      <c r="AD916" s="133" t="e">
        <f>Datasheet!AD1148/AD671</f>
        <v>#DIV/0!</v>
      </c>
      <c r="AE916" s="133" t="e">
        <f>Datasheet!AE1148/AE671</f>
        <v>#DIV/0!</v>
      </c>
      <c r="AF916" s="133" t="e">
        <f>Datasheet!AF1148/AF671</f>
        <v>#DIV/0!</v>
      </c>
      <c r="AG916" s="133" t="e">
        <f>Datasheet!AG1148/AG671</f>
        <v>#DIV/0!</v>
      </c>
      <c r="AH916" s="133" t="e">
        <f>Datasheet!AH1148/AH671</f>
        <v>#DIV/0!</v>
      </c>
      <c r="AI916" s="133" t="e">
        <f>Datasheet!AI1148/AI671</f>
        <v>#DIV/0!</v>
      </c>
      <c r="AJ916" s="133" t="e">
        <f>Datasheet!AJ1148/AJ671</f>
        <v>#DIV/0!</v>
      </c>
      <c r="AK916" s="133" t="e">
        <f>Datasheet!AK1148/AK671</f>
        <v>#DIV/0!</v>
      </c>
    </row>
    <row r="917" spans="1:37" s="9" customFormat="1" x14ac:dyDescent="0.25">
      <c r="B917" s="66"/>
      <c r="C917" s="51"/>
      <c r="F917" s="9" t="s">
        <v>321</v>
      </c>
      <c r="H917" s="9" t="s">
        <v>1323</v>
      </c>
      <c r="I917" s="133"/>
      <c r="J917" s="133"/>
      <c r="K917" s="133"/>
      <c r="L917" s="133"/>
      <c r="M917" s="133"/>
      <c r="N917" s="133"/>
      <c r="O917" s="133"/>
      <c r="P917" s="133"/>
      <c r="Q917" s="133">
        <f>Datasheet!Q1149/Q672</f>
        <v>0.8471948694134358</v>
      </c>
      <c r="R917" s="133">
        <f>Datasheet!R1149/R672</f>
        <v>0.88843467982297797</v>
      </c>
      <c r="S917" s="133">
        <f>Datasheet!S1149/S672</f>
        <v>0.97183168737245784</v>
      </c>
      <c r="T917" s="133">
        <f>Datasheet!T1149/T672</f>
        <v>0.92965370679565029</v>
      </c>
      <c r="U917" s="133">
        <f>Datasheet!U1149/U672</f>
        <v>1.0240026471007719</v>
      </c>
      <c r="V917" s="133">
        <f>Datasheet!V1149/V672</f>
        <v>0.95287735508221338</v>
      </c>
      <c r="W917" s="133">
        <f>Datasheet!W1149/W672</f>
        <v>1.1073604362176745</v>
      </c>
      <c r="X917" s="133">
        <f>Datasheet!X1149/X672</f>
        <v>1.1342859045406237</v>
      </c>
      <c r="Y917" s="133">
        <f>Datasheet!Y1149/Y672</f>
        <v>1.2267551917185655</v>
      </c>
      <c r="Z917" s="133">
        <f>Datasheet!Z1149/Z672</f>
        <v>1.1814102391582244</v>
      </c>
      <c r="AA917" s="133" t="e">
        <f>Datasheet!AA1149/AA672</f>
        <v>#DIV/0!</v>
      </c>
      <c r="AB917" s="133" t="e">
        <f>Datasheet!AB1149/AB672</f>
        <v>#DIV/0!</v>
      </c>
      <c r="AC917" s="133" t="e">
        <f>Datasheet!AC1149/AC672</f>
        <v>#DIV/0!</v>
      </c>
      <c r="AD917" s="133" t="e">
        <f>Datasheet!AD1149/AD672</f>
        <v>#DIV/0!</v>
      </c>
      <c r="AE917" s="133" t="e">
        <f>Datasheet!AE1149/AE672</f>
        <v>#DIV/0!</v>
      </c>
      <c r="AF917" s="133" t="e">
        <f>Datasheet!AF1149/AF672</f>
        <v>#DIV/0!</v>
      </c>
      <c r="AG917" s="133" t="e">
        <f>Datasheet!AG1149/AG672</f>
        <v>#DIV/0!</v>
      </c>
      <c r="AH917" s="133" t="e">
        <f>Datasheet!AH1149/AH672</f>
        <v>#DIV/0!</v>
      </c>
      <c r="AI917" s="133" t="e">
        <f>Datasheet!AI1149/AI672</f>
        <v>#DIV/0!</v>
      </c>
      <c r="AJ917" s="133" t="e">
        <f>Datasheet!AJ1149/AJ672</f>
        <v>#DIV/0!</v>
      </c>
      <c r="AK917" s="133" t="e">
        <f>Datasheet!AK1149/AK672</f>
        <v>#DIV/0!</v>
      </c>
    </row>
    <row r="918" spans="1:37" s="9" customFormat="1" x14ac:dyDescent="0.25">
      <c r="B918" s="66"/>
      <c r="C918" s="51"/>
      <c r="F918" s="9" t="s">
        <v>322</v>
      </c>
      <c r="H918" s="9" t="s">
        <v>1323</v>
      </c>
      <c r="I918" s="133"/>
      <c r="J918" s="133"/>
      <c r="K918" s="133"/>
      <c r="L918" s="133"/>
      <c r="M918" s="133"/>
      <c r="N918" s="133"/>
      <c r="O918" s="133"/>
      <c r="P918" s="133"/>
      <c r="Q918" s="133">
        <f>Datasheet!Q1150/Q673</f>
        <v>0.82434178023396254</v>
      </c>
      <c r="R918" s="133">
        <f>Datasheet!R1150/R673</f>
        <v>0.85403221101316729</v>
      </c>
      <c r="S918" s="133">
        <f>Datasheet!S1150/S673</f>
        <v>0.89815168844948279</v>
      </c>
      <c r="T918" s="133">
        <f>Datasheet!T1150/T673</f>
        <v>0.88927592738399519</v>
      </c>
      <c r="U918" s="133">
        <f>Datasheet!U1150/U673</f>
        <v>0.97387450552325705</v>
      </c>
      <c r="V918" s="133">
        <f>Datasheet!V1150/V673</f>
        <v>0.92486738315457828</v>
      </c>
      <c r="W918" s="133">
        <f>Datasheet!W1150/W673</f>
        <v>0.96566197530563025</v>
      </c>
      <c r="X918" s="133">
        <f>Datasheet!X1150/X673</f>
        <v>0.99416326671379351</v>
      </c>
      <c r="Y918" s="133">
        <f>Datasheet!Y1150/Y673</f>
        <v>1.0519601981438023</v>
      </c>
      <c r="Z918" s="133">
        <f>Datasheet!Z1150/Z673</f>
        <v>1.2953638957297278</v>
      </c>
      <c r="AA918" s="133" t="e">
        <f>Datasheet!AA1150/AA673</f>
        <v>#DIV/0!</v>
      </c>
      <c r="AB918" s="133" t="e">
        <f>Datasheet!AB1150/AB673</f>
        <v>#DIV/0!</v>
      </c>
      <c r="AC918" s="133" t="e">
        <f>Datasheet!AC1150/AC673</f>
        <v>#DIV/0!</v>
      </c>
      <c r="AD918" s="133" t="e">
        <f>Datasheet!AD1150/AD673</f>
        <v>#DIV/0!</v>
      </c>
      <c r="AE918" s="133" t="e">
        <f>Datasheet!AE1150/AE673</f>
        <v>#DIV/0!</v>
      </c>
      <c r="AF918" s="133" t="e">
        <f>Datasheet!AF1150/AF673</f>
        <v>#DIV/0!</v>
      </c>
      <c r="AG918" s="133" t="e">
        <f>Datasheet!AG1150/AG673</f>
        <v>#DIV/0!</v>
      </c>
      <c r="AH918" s="133" t="e">
        <f>Datasheet!AH1150/AH673</f>
        <v>#DIV/0!</v>
      </c>
      <c r="AI918" s="133" t="e">
        <f>Datasheet!AI1150/AI673</f>
        <v>#DIV/0!</v>
      </c>
      <c r="AJ918" s="133" t="e">
        <f>Datasheet!AJ1150/AJ673</f>
        <v>#DIV/0!</v>
      </c>
      <c r="AK918" s="133" t="e">
        <f>Datasheet!AK1150/AK673</f>
        <v>#DIV/0!</v>
      </c>
    </row>
    <row r="919" spans="1:37" s="9" customFormat="1" x14ac:dyDescent="0.25">
      <c r="B919" s="66"/>
      <c r="C919" s="51"/>
      <c r="F919" s="9" t="s">
        <v>323</v>
      </c>
      <c r="H919" s="9" t="s">
        <v>1323</v>
      </c>
      <c r="I919" s="133"/>
      <c r="J919" s="133"/>
      <c r="K919" s="133"/>
      <c r="L919" s="133"/>
      <c r="M919" s="133"/>
      <c r="N919" s="133"/>
      <c r="O919" s="133"/>
      <c r="P919" s="133"/>
      <c r="Q919" s="133">
        <f>Datasheet!Q1151/Q674</f>
        <v>0.89933646639899023</v>
      </c>
      <c r="R919" s="133">
        <f>Datasheet!R1151/R674</f>
        <v>0.94155488652730301</v>
      </c>
      <c r="S919" s="133">
        <f>Datasheet!S1151/S674</f>
        <v>0.96392570728260207</v>
      </c>
      <c r="T919" s="133">
        <f>Datasheet!T1151/T674</f>
        <v>0.99808124437850432</v>
      </c>
      <c r="U919" s="133">
        <f>Datasheet!U1151/U674</f>
        <v>0.8928100444478998</v>
      </c>
      <c r="V919" s="133">
        <f>Datasheet!V1151/V674</f>
        <v>0.83474661339419276</v>
      </c>
      <c r="W919" s="133">
        <f>Datasheet!W1151/W674</f>
        <v>0.91102176940113866</v>
      </c>
      <c r="X919" s="133">
        <f>Datasheet!X1151/X674</f>
        <v>0.96539483918688096</v>
      </c>
      <c r="Y919" s="133">
        <f>Datasheet!Y1151/Y674</f>
        <v>1.0301062132642596</v>
      </c>
      <c r="Z919" s="133">
        <f>Datasheet!Z1151/Z674</f>
        <v>1.3357561353482301</v>
      </c>
      <c r="AA919" s="133" t="e">
        <f>Datasheet!AA1151/AA674</f>
        <v>#DIV/0!</v>
      </c>
      <c r="AB919" s="133" t="e">
        <f>Datasheet!AB1151/AB674</f>
        <v>#DIV/0!</v>
      </c>
      <c r="AC919" s="133" t="e">
        <f>Datasheet!AC1151/AC674</f>
        <v>#DIV/0!</v>
      </c>
      <c r="AD919" s="133" t="e">
        <f>Datasheet!AD1151/AD674</f>
        <v>#DIV/0!</v>
      </c>
      <c r="AE919" s="133" t="e">
        <f>Datasheet!AE1151/AE674</f>
        <v>#DIV/0!</v>
      </c>
      <c r="AF919" s="133" t="e">
        <f>Datasheet!AF1151/AF674</f>
        <v>#DIV/0!</v>
      </c>
      <c r="AG919" s="133" t="e">
        <f>Datasheet!AG1151/AG674</f>
        <v>#DIV/0!</v>
      </c>
      <c r="AH919" s="133" t="e">
        <f>Datasheet!AH1151/AH674</f>
        <v>#DIV/0!</v>
      </c>
      <c r="AI919" s="133" t="e">
        <f>Datasheet!AI1151/AI674</f>
        <v>#DIV/0!</v>
      </c>
      <c r="AJ919" s="133" t="e">
        <f>Datasheet!AJ1151/AJ674</f>
        <v>#DIV/0!</v>
      </c>
      <c r="AK919" s="133" t="e">
        <f>Datasheet!AK1151/AK674</f>
        <v>#DIV/0!</v>
      </c>
    </row>
    <row r="920" spans="1:37" s="9" customFormat="1" x14ac:dyDescent="0.25">
      <c r="B920" s="66"/>
      <c r="C920" s="51"/>
      <c r="F920" s="9" t="s">
        <v>324</v>
      </c>
      <c r="H920" s="9" t="s">
        <v>1323</v>
      </c>
      <c r="I920" s="133"/>
      <c r="J920" s="133"/>
      <c r="K920" s="133"/>
      <c r="L920" s="133"/>
      <c r="M920" s="133"/>
      <c r="N920" s="133"/>
      <c r="O920" s="133"/>
      <c r="P920" s="133"/>
      <c r="Q920" s="133">
        <f>Datasheet!Q1152/Q675</f>
        <v>1.1337976702760786</v>
      </c>
      <c r="R920" s="133">
        <f>Datasheet!R1152/R675</f>
        <v>1.2504429915502173</v>
      </c>
      <c r="S920" s="133">
        <f>Datasheet!S1152/S675</f>
        <v>1.2247297936387525</v>
      </c>
      <c r="T920" s="133">
        <f>Datasheet!T1152/T675</f>
        <v>1.0683422415901347</v>
      </c>
      <c r="U920" s="133">
        <f>Datasheet!U1152/U675</f>
        <v>1.0996943347015509</v>
      </c>
      <c r="V920" s="133">
        <f>Datasheet!V1152/V675</f>
        <v>1.085285967796352</v>
      </c>
      <c r="W920" s="133">
        <f>Datasheet!W1152/W675</f>
        <v>1.0867601811701646</v>
      </c>
      <c r="X920" s="133">
        <f>Datasheet!X1152/X675</f>
        <v>1.289726134068619</v>
      </c>
      <c r="Y920" s="133">
        <f>Datasheet!Y1152/Y675</f>
        <v>1.3646315294102795</v>
      </c>
      <c r="Z920" s="133">
        <f>Datasheet!Z1152/Z675</f>
        <v>1.4633820651210614</v>
      </c>
      <c r="AA920" s="133" t="e">
        <f>Datasheet!AA1152/AA675</f>
        <v>#DIV/0!</v>
      </c>
      <c r="AB920" s="133" t="e">
        <f>Datasheet!AB1152/AB675</f>
        <v>#DIV/0!</v>
      </c>
      <c r="AC920" s="133" t="e">
        <f>Datasheet!AC1152/AC675</f>
        <v>#DIV/0!</v>
      </c>
      <c r="AD920" s="133" t="e">
        <f>Datasheet!AD1152/AD675</f>
        <v>#DIV/0!</v>
      </c>
      <c r="AE920" s="133" t="e">
        <f>Datasheet!AE1152/AE675</f>
        <v>#DIV/0!</v>
      </c>
      <c r="AF920" s="133" t="e">
        <f>Datasheet!AF1152/AF675</f>
        <v>#DIV/0!</v>
      </c>
      <c r="AG920" s="133" t="e">
        <f>Datasheet!AG1152/AG675</f>
        <v>#DIV/0!</v>
      </c>
      <c r="AH920" s="133" t="e">
        <f>Datasheet!AH1152/AH675</f>
        <v>#DIV/0!</v>
      </c>
      <c r="AI920" s="133" t="e">
        <f>Datasheet!AI1152/AI675</f>
        <v>#DIV/0!</v>
      </c>
      <c r="AJ920" s="133" t="e">
        <f>Datasheet!AJ1152/AJ675</f>
        <v>#DIV/0!</v>
      </c>
      <c r="AK920" s="133" t="e">
        <f>Datasheet!AK1152/AK675</f>
        <v>#DIV/0!</v>
      </c>
    </row>
    <row r="921" spans="1:37" s="9" customFormat="1" x14ac:dyDescent="0.25">
      <c r="B921" s="66"/>
      <c r="C921" s="51"/>
      <c r="F921" s="9" t="s">
        <v>325</v>
      </c>
      <c r="H921" s="9" t="s">
        <v>1323</v>
      </c>
      <c r="I921" s="133"/>
      <c r="J921" s="133"/>
      <c r="K921" s="133"/>
      <c r="L921" s="133"/>
      <c r="M921" s="133"/>
      <c r="N921" s="133"/>
      <c r="O921" s="133"/>
      <c r="P921" s="133"/>
      <c r="Q921" s="133">
        <f>Datasheet!Q1153/Q676</f>
        <v>3.0608618077160026</v>
      </c>
      <c r="R921" s="133">
        <f>Datasheet!R1153/R676</f>
        <v>2.812238652070898</v>
      </c>
      <c r="S921" s="133">
        <f>Datasheet!S1153/S676</f>
        <v>3.0096520774042501</v>
      </c>
      <c r="T921" s="133">
        <f>Datasheet!T1153/T676</f>
        <v>3.113743777188986</v>
      </c>
      <c r="U921" s="133">
        <f>Datasheet!U1153/U676</f>
        <v>3.0684469264987628</v>
      </c>
      <c r="V921" s="133">
        <f>Datasheet!V1153/V676</f>
        <v>3.0242646494350485</v>
      </c>
      <c r="W921" s="133">
        <f>Datasheet!W1153/W676</f>
        <v>3.0184147040031979</v>
      </c>
      <c r="X921" s="133">
        <f>Datasheet!X1153/X676</f>
        <v>3.0567467683971046</v>
      </c>
      <c r="Y921" s="133">
        <f>Datasheet!Y1153/Y676</f>
        <v>3.1208078898635487</v>
      </c>
      <c r="Z921" s="133">
        <f>Datasheet!Z1153/Z676</f>
        <v>2.7929379517854676</v>
      </c>
      <c r="AA921" s="133" t="e">
        <f>Datasheet!AA1153/AA676</f>
        <v>#DIV/0!</v>
      </c>
      <c r="AB921" s="133" t="e">
        <f>Datasheet!AB1153/AB676</f>
        <v>#DIV/0!</v>
      </c>
      <c r="AC921" s="133" t="e">
        <f>Datasheet!AC1153/AC676</f>
        <v>#DIV/0!</v>
      </c>
      <c r="AD921" s="133" t="e">
        <f>Datasheet!AD1153/AD676</f>
        <v>#DIV/0!</v>
      </c>
      <c r="AE921" s="133" t="e">
        <f>Datasheet!AE1153/AE676</f>
        <v>#DIV/0!</v>
      </c>
      <c r="AF921" s="133" t="e">
        <f>Datasheet!AF1153/AF676</f>
        <v>#DIV/0!</v>
      </c>
      <c r="AG921" s="133" t="e">
        <f>Datasheet!AG1153/AG676</f>
        <v>#DIV/0!</v>
      </c>
      <c r="AH921" s="133" t="e">
        <f>Datasheet!AH1153/AH676</f>
        <v>#DIV/0!</v>
      </c>
      <c r="AI921" s="133" t="e">
        <f>Datasheet!AI1153/AI676</f>
        <v>#DIV/0!</v>
      </c>
      <c r="AJ921" s="133" t="e">
        <f>Datasheet!AJ1153/AJ676</f>
        <v>#DIV/0!</v>
      </c>
      <c r="AK921" s="133" t="e">
        <f>Datasheet!AK1153/AK676</f>
        <v>#DIV/0!</v>
      </c>
    </row>
    <row r="922" spans="1:37" s="95" customFormat="1" x14ac:dyDescent="0.25">
      <c r="B922" s="131"/>
      <c r="I922" s="132"/>
      <c r="J922" s="132"/>
      <c r="K922" s="132"/>
      <c r="L922" s="132"/>
      <c r="M922" s="132"/>
      <c r="N922" s="132"/>
      <c r="O922" s="132"/>
      <c r="P922" s="132"/>
      <c r="Q922" s="132"/>
      <c r="R922" s="132"/>
      <c r="S922" s="132"/>
      <c r="T922" s="132"/>
      <c r="U922" s="132"/>
      <c r="V922" s="132"/>
      <c r="W922" s="132"/>
      <c r="X922" s="132"/>
      <c r="Y922" s="132"/>
      <c r="Z922" s="132"/>
      <c r="AA922" s="132"/>
      <c r="AB922" s="132"/>
      <c r="AC922" s="132"/>
      <c r="AD922" s="132"/>
      <c r="AE922" s="132"/>
      <c r="AF922" s="132"/>
      <c r="AG922" s="132"/>
      <c r="AH922" s="132"/>
      <c r="AI922" s="132"/>
      <c r="AJ922" s="132"/>
      <c r="AK922" s="132"/>
    </row>
    <row r="923" spans="1:37" s="98" customFormat="1" ht="17.25" x14ac:dyDescent="0.3">
      <c r="A923" s="98" t="s">
        <v>412</v>
      </c>
    </row>
    <row r="924" spans="1:37" x14ac:dyDescent="0.25">
      <c r="B924" s="64" t="s">
        <v>33</v>
      </c>
      <c r="C924" t="s">
        <v>336</v>
      </c>
    </row>
    <row r="925" spans="1:37" x14ac:dyDescent="0.25">
      <c r="B925" s="64" t="s">
        <v>626</v>
      </c>
      <c r="C925" t="s">
        <v>625</v>
      </c>
    </row>
    <row r="926" spans="1:37" x14ac:dyDescent="0.25">
      <c r="B926" s="64" t="s">
        <v>420</v>
      </c>
      <c r="C926" t="s">
        <v>627</v>
      </c>
    </row>
    <row r="927" spans="1:37" x14ac:dyDescent="0.25">
      <c r="B927" s="64" t="s">
        <v>429</v>
      </c>
      <c r="C927" s="195" t="s">
        <v>1478</v>
      </c>
    </row>
    <row r="928" spans="1:37" x14ac:dyDescent="0.25">
      <c r="B928" s="64" t="s">
        <v>421</v>
      </c>
      <c r="C928" t="s">
        <v>628</v>
      </c>
    </row>
    <row r="929" spans="2:37" x14ac:dyDescent="0.25">
      <c r="B929" s="64" t="s">
        <v>425</v>
      </c>
      <c r="C929" t="s">
        <v>613</v>
      </c>
    </row>
    <row r="930" spans="2:37" x14ac:dyDescent="0.25">
      <c r="B930" s="64"/>
      <c r="C930" t="s">
        <v>633</v>
      </c>
    </row>
    <row r="931" spans="2:37" x14ac:dyDescent="0.25">
      <c r="B931" s="64" t="s">
        <v>333</v>
      </c>
      <c r="C931" t="s">
        <v>614</v>
      </c>
    </row>
    <row r="932" spans="2:37" x14ac:dyDescent="0.25">
      <c r="B932" s="64"/>
      <c r="C932" t="s">
        <v>632</v>
      </c>
    </row>
    <row r="933" spans="2:37" x14ac:dyDescent="0.25">
      <c r="B933" s="64"/>
      <c r="C933" t="s">
        <v>631</v>
      </c>
    </row>
    <row r="934" spans="2:37" s="121" customFormat="1" ht="15.75" thickBot="1" x14ac:dyDescent="0.3">
      <c r="B934" s="130" t="s">
        <v>334</v>
      </c>
      <c r="C934" s="121" t="s">
        <v>630</v>
      </c>
    </row>
    <row r="935" spans="2:37" s="9" customFormat="1" ht="15.75" thickTop="1" x14ac:dyDescent="0.25">
      <c r="B935" s="66"/>
      <c r="C935" s="51"/>
      <c r="I935" s="97"/>
      <c r="J935" s="97"/>
      <c r="K935" s="97"/>
      <c r="L935" s="97"/>
      <c r="M935" s="97"/>
      <c r="N935" s="97"/>
      <c r="O935" s="97"/>
      <c r="P935" s="97"/>
      <c r="Q935" s="97"/>
      <c r="R935" s="97"/>
      <c r="S935" s="97"/>
      <c r="T935" s="97"/>
      <c r="U935" s="97"/>
      <c r="V935" s="97"/>
      <c r="W935" s="97"/>
      <c r="X935" s="97"/>
      <c r="Y935" s="97"/>
      <c r="Z935" s="97"/>
      <c r="AA935" s="97"/>
      <c r="AB935" s="97"/>
      <c r="AC935" s="97"/>
      <c r="AD935" s="97"/>
      <c r="AE935" s="97"/>
      <c r="AF935" s="97"/>
      <c r="AG935" s="97"/>
      <c r="AH935" s="97"/>
      <c r="AI935" s="97"/>
      <c r="AJ935" s="97"/>
      <c r="AK935" s="97"/>
    </row>
    <row r="936" spans="2:37" s="9" customFormat="1" x14ac:dyDescent="0.25">
      <c r="B936" s="66"/>
      <c r="C936" s="51"/>
      <c r="I936" s="97"/>
      <c r="J936" s="97"/>
      <c r="K936" s="97"/>
      <c r="L936" s="97"/>
      <c r="M936" s="97"/>
      <c r="N936" s="97"/>
      <c r="O936" s="97"/>
      <c r="P936" s="97"/>
      <c r="Q936" s="97"/>
      <c r="R936" s="97"/>
      <c r="S936" s="97"/>
      <c r="T936" s="97"/>
      <c r="U936" s="97"/>
      <c r="V936" s="97"/>
      <c r="W936" s="97"/>
      <c r="X936" s="97"/>
      <c r="Y936" s="97"/>
      <c r="Z936" s="97"/>
      <c r="AA936" s="97"/>
      <c r="AB936" s="97"/>
      <c r="AC936" s="97"/>
      <c r="AD936" s="97"/>
      <c r="AE936" s="97"/>
      <c r="AF936" s="97"/>
      <c r="AG936" s="97"/>
      <c r="AH936" s="97"/>
      <c r="AI936" s="97"/>
      <c r="AJ936" s="97"/>
      <c r="AK936" s="97"/>
    </row>
    <row r="937" spans="2:37" s="9" customFormat="1" x14ac:dyDescent="0.25">
      <c r="B937" s="66"/>
      <c r="C937" s="51"/>
      <c r="I937" s="97"/>
      <c r="J937" s="97"/>
      <c r="K937" s="97"/>
      <c r="L937" s="97"/>
      <c r="M937" s="97"/>
      <c r="N937" s="97"/>
      <c r="O937" s="97"/>
      <c r="P937" s="97"/>
      <c r="Q937" s="97"/>
      <c r="R937" s="97"/>
      <c r="S937" s="97"/>
      <c r="T937" s="97"/>
      <c r="U937" s="97"/>
      <c r="V937" s="97"/>
      <c r="W937" s="97"/>
      <c r="X937" s="97"/>
      <c r="Y937" s="97"/>
      <c r="Z937" s="97"/>
      <c r="AA937" s="97"/>
      <c r="AB937" s="97"/>
      <c r="AC937" s="97"/>
      <c r="AD937" s="97"/>
      <c r="AE937" s="97"/>
      <c r="AF937" s="97"/>
      <c r="AG937" s="97"/>
      <c r="AH937" s="97"/>
      <c r="AI937" s="97"/>
      <c r="AJ937" s="97"/>
      <c r="AK937" s="97"/>
    </row>
    <row r="938" spans="2:37" s="9" customFormat="1" x14ac:dyDescent="0.25">
      <c r="B938" s="66"/>
      <c r="C938" s="51"/>
      <c r="I938" s="97"/>
      <c r="J938" s="97"/>
      <c r="K938" s="97"/>
      <c r="L938" s="97"/>
      <c r="M938" s="97"/>
      <c r="N938" s="97"/>
      <c r="O938" s="97"/>
      <c r="P938" s="97"/>
      <c r="Q938" s="97"/>
      <c r="R938" s="97"/>
      <c r="S938" s="97"/>
      <c r="T938" s="97"/>
      <c r="U938" s="97"/>
      <c r="V938" s="97"/>
      <c r="W938" s="97"/>
      <c r="X938" s="97"/>
      <c r="Y938" s="97"/>
      <c r="Z938" s="97"/>
      <c r="AA938" s="97"/>
      <c r="AB938" s="97"/>
      <c r="AC938" s="97"/>
      <c r="AD938" s="97"/>
      <c r="AE938" s="97"/>
      <c r="AF938" s="97"/>
      <c r="AG938" s="97"/>
      <c r="AH938" s="97"/>
      <c r="AI938" s="97"/>
      <c r="AJ938" s="97"/>
      <c r="AK938" s="97"/>
    </row>
    <row r="939" spans="2:37" s="9" customFormat="1" x14ac:dyDescent="0.25">
      <c r="B939" s="66"/>
      <c r="C939" s="51"/>
      <c r="I939" s="97"/>
      <c r="J939" s="97"/>
      <c r="K939" s="97"/>
      <c r="L939" s="97"/>
      <c r="M939" s="97"/>
      <c r="N939" s="97"/>
      <c r="O939" s="97"/>
      <c r="P939" s="97"/>
      <c r="Q939" s="97"/>
      <c r="R939" s="97"/>
      <c r="S939" s="97"/>
      <c r="T939" s="97"/>
      <c r="U939" s="97"/>
      <c r="V939" s="97"/>
      <c r="W939" s="97"/>
      <c r="X939" s="97"/>
      <c r="Y939" s="97"/>
      <c r="Z939" s="97"/>
      <c r="AA939" s="97"/>
      <c r="AB939" s="97"/>
      <c r="AC939" s="97"/>
      <c r="AD939" s="97"/>
      <c r="AE939" s="97"/>
      <c r="AF939" s="97"/>
      <c r="AG939" s="97"/>
      <c r="AH939" s="97"/>
      <c r="AI939" s="97"/>
      <c r="AJ939" s="97"/>
      <c r="AK939" s="97"/>
    </row>
    <row r="940" spans="2:37" s="9" customFormat="1" x14ac:dyDescent="0.25">
      <c r="B940" s="66"/>
      <c r="C940" s="51"/>
      <c r="I940" s="97"/>
      <c r="J940" s="97"/>
      <c r="K940" s="97"/>
      <c r="L940" s="97"/>
      <c r="M940" s="97"/>
      <c r="N940" s="97"/>
      <c r="O940" s="97"/>
      <c r="P940" s="97"/>
      <c r="Q940" s="97"/>
      <c r="R940" s="97"/>
      <c r="S940" s="97"/>
      <c r="T940" s="97"/>
      <c r="U940" s="97"/>
      <c r="V940" s="97"/>
      <c r="W940" s="97"/>
      <c r="X940" s="97"/>
      <c r="Y940" s="97"/>
      <c r="Z940" s="97"/>
      <c r="AA940" s="97"/>
      <c r="AB940" s="97"/>
      <c r="AC940" s="97"/>
      <c r="AD940" s="97"/>
      <c r="AE940" s="97"/>
      <c r="AF940" s="97"/>
      <c r="AG940" s="97"/>
      <c r="AH940" s="97"/>
      <c r="AI940" s="97"/>
      <c r="AJ940" s="97"/>
      <c r="AK940" s="97"/>
    </row>
    <row r="941" spans="2:37" s="9" customFormat="1" x14ac:dyDescent="0.25">
      <c r="B941" s="66"/>
      <c r="C941" s="51"/>
      <c r="I941" s="97"/>
      <c r="J941" s="97"/>
      <c r="K941" s="97"/>
      <c r="L941" s="97"/>
      <c r="M941" s="97"/>
      <c r="N941" s="97"/>
      <c r="O941" s="97"/>
      <c r="P941" s="97"/>
      <c r="Q941" s="97"/>
      <c r="R941" s="97"/>
      <c r="S941" s="97"/>
      <c r="T941" s="97"/>
      <c r="U941" s="97"/>
      <c r="V941" s="97"/>
      <c r="W941" s="97"/>
      <c r="X941" s="97"/>
      <c r="Y941" s="97"/>
      <c r="Z941" s="97"/>
      <c r="AA941" s="97"/>
      <c r="AB941" s="97"/>
      <c r="AC941" s="97"/>
      <c r="AD941" s="97"/>
      <c r="AE941" s="97"/>
      <c r="AF941" s="97"/>
      <c r="AG941" s="97"/>
      <c r="AH941" s="97"/>
      <c r="AI941" s="97"/>
      <c r="AJ941" s="97"/>
      <c r="AK941" s="97"/>
    </row>
    <row r="942" spans="2:37" s="9" customFormat="1" x14ac:dyDescent="0.25">
      <c r="B942" s="66"/>
      <c r="C942" s="51"/>
      <c r="I942" s="97"/>
      <c r="J942" s="97"/>
      <c r="K942" s="97"/>
      <c r="L942" s="97"/>
      <c r="M942" s="97"/>
      <c r="N942" s="97"/>
      <c r="O942" s="97"/>
      <c r="P942" s="97"/>
      <c r="Q942" s="97"/>
      <c r="R942" s="97"/>
      <c r="S942" s="97"/>
      <c r="T942" s="97"/>
      <c r="U942" s="97"/>
      <c r="V942" s="97"/>
      <c r="W942" s="97"/>
      <c r="X942" s="97"/>
      <c r="Y942" s="97"/>
      <c r="Z942" s="97"/>
      <c r="AA942" s="97"/>
      <c r="AB942" s="97"/>
      <c r="AC942" s="97"/>
      <c r="AD942" s="97"/>
      <c r="AE942" s="97"/>
      <c r="AF942" s="97"/>
      <c r="AG942" s="97"/>
      <c r="AH942" s="97"/>
      <c r="AI942" s="97"/>
      <c r="AJ942" s="97"/>
      <c r="AK942" s="97"/>
    </row>
    <row r="943" spans="2:37" s="9" customFormat="1" x14ac:dyDescent="0.25">
      <c r="B943" s="66"/>
      <c r="C943" s="51"/>
      <c r="I943" s="97"/>
      <c r="J943" s="97"/>
      <c r="K943" s="97"/>
      <c r="L943" s="97"/>
      <c r="M943" s="97"/>
      <c r="N943" s="97"/>
      <c r="O943" s="97"/>
      <c r="P943" s="97"/>
      <c r="Q943" s="97"/>
      <c r="R943" s="97"/>
      <c r="S943" s="97"/>
      <c r="T943" s="97"/>
      <c r="U943" s="97"/>
      <c r="V943" s="97"/>
      <c r="W943" s="97"/>
      <c r="X943" s="97"/>
      <c r="Y943" s="97"/>
      <c r="Z943" s="97"/>
      <c r="AA943" s="97"/>
      <c r="AB943" s="97"/>
      <c r="AC943" s="97"/>
      <c r="AD943" s="97"/>
      <c r="AE943" s="97"/>
      <c r="AF943" s="97"/>
      <c r="AG943" s="97"/>
      <c r="AH943" s="97"/>
      <c r="AI943" s="97"/>
      <c r="AJ943" s="97"/>
      <c r="AK943" s="97"/>
    </row>
    <row r="944" spans="2:37" s="9" customFormat="1" x14ac:dyDescent="0.25">
      <c r="B944" s="66"/>
      <c r="C944" s="51"/>
      <c r="I944" s="97"/>
      <c r="J944" s="97"/>
      <c r="K944" s="97"/>
      <c r="L944" s="97"/>
      <c r="M944" s="97"/>
      <c r="N944" s="97"/>
      <c r="O944" s="97"/>
      <c r="P944" s="97"/>
      <c r="Q944" s="97"/>
      <c r="R944" s="97"/>
      <c r="S944" s="97"/>
      <c r="T944" s="97"/>
      <c r="U944" s="97"/>
      <c r="V944" s="97"/>
      <c r="W944" s="97"/>
      <c r="X944" s="97"/>
      <c r="Y944" s="97"/>
      <c r="Z944" s="97"/>
      <c r="AA944" s="97"/>
      <c r="AB944" s="97"/>
      <c r="AC944" s="97"/>
      <c r="AD944" s="97"/>
      <c r="AE944" s="97"/>
      <c r="AF944" s="97"/>
      <c r="AG944" s="97"/>
      <c r="AH944" s="97"/>
      <c r="AI944" s="97"/>
      <c r="AJ944" s="97"/>
      <c r="AK944" s="97"/>
    </row>
    <row r="945" spans="1:37" s="9" customFormat="1" x14ac:dyDescent="0.25">
      <c r="B945" s="66"/>
      <c r="C945" s="51"/>
      <c r="I945" s="97"/>
      <c r="J945" s="97"/>
      <c r="K945" s="97"/>
      <c r="L945" s="97"/>
      <c r="M945" s="97"/>
      <c r="N945" s="97"/>
      <c r="O945" s="97"/>
      <c r="P945" s="97"/>
      <c r="Q945" s="97"/>
      <c r="R945" s="97"/>
      <c r="S945" s="97"/>
      <c r="T945" s="97"/>
      <c r="U945" s="97"/>
      <c r="V945" s="97"/>
      <c r="W945" s="97"/>
      <c r="X945" s="97"/>
      <c r="Y945" s="97"/>
      <c r="Z945" s="97"/>
      <c r="AA945" s="97"/>
      <c r="AB945" s="97"/>
      <c r="AC945" s="97"/>
      <c r="AD945" s="97"/>
      <c r="AE945" s="97"/>
      <c r="AF945" s="97"/>
      <c r="AG945" s="97"/>
      <c r="AH945" s="97"/>
      <c r="AI945" s="97"/>
      <c r="AJ945" s="97"/>
      <c r="AK945" s="97"/>
    </row>
    <row r="946" spans="1:37" s="9" customFormat="1" x14ac:dyDescent="0.25">
      <c r="B946" s="66"/>
      <c r="C946" s="51"/>
      <c r="I946" s="97"/>
      <c r="J946" s="97"/>
      <c r="K946" s="97"/>
      <c r="L946" s="97"/>
      <c r="M946" s="97"/>
      <c r="N946" s="97"/>
      <c r="O946" s="97"/>
      <c r="P946" s="97"/>
      <c r="Q946" s="97"/>
      <c r="R946" s="97"/>
      <c r="S946" s="97"/>
      <c r="T946" s="97"/>
      <c r="U946" s="97"/>
      <c r="V946" s="97"/>
      <c r="W946" s="97"/>
      <c r="X946" s="97"/>
      <c r="Y946" s="97"/>
      <c r="Z946" s="97"/>
      <c r="AA946" s="97"/>
      <c r="AB946" s="97"/>
      <c r="AC946" s="97"/>
      <c r="AD946" s="97"/>
      <c r="AE946" s="97"/>
      <c r="AF946" s="97"/>
      <c r="AG946" s="97"/>
      <c r="AH946" s="97"/>
      <c r="AI946" s="97"/>
      <c r="AJ946" s="97"/>
      <c r="AK946" s="97"/>
    </row>
    <row r="947" spans="1:37" s="9" customFormat="1" x14ac:dyDescent="0.25">
      <c r="B947" s="66"/>
      <c r="C947" s="51"/>
      <c r="I947" s="97"/>
      <c r="J947" s="97"/>
      <c r="K947" s="97"/>
      <c r="L947" s="97"/>
      <c r="M947" s="97"/>
      <c r="N947" s="97"/>
      <c r="O947" s="97"/>
      <c r="P947" s="97"/>
      <c r="Q947" s="97"/>
      <c r="R947" s="97"/>
      <c r="S947" s="97"/>
      <c r="T947" s="97"/>
      <c r="U947" s="97"/>
      <c r="V947" s="97"/>
      <c r="W947" s="97"/>
      <c r="X947" s="97"/>
      <c r="Y947" s="97"/>
      <c r="Z947" s="97"/>
      <c r="AA947" s="97"/>
      <c r="AB947" s="97"/>
      <c r="AC947" s="97"/>
      <c r="AD947" s="97"/>
      <c r="AE947" s="97"/>
      <c r="AF947" s="97"/>
      <c r="AG947" s="97"/>
      <c r="AH947" s="97"/>
      <c r="AI947" s="97"/>
      <c r="AJ947" s="97"/>
      <c r="AK947" s="97"/>
    </row>
    <row r="948" spans="1:37" s="9" customFormat="1" x14ac:dyDescent="0.25">
      <c r="B948" s="66"/>
      <c r="C948" s="51"/>
      <c r="I948" s="97"/>
      <c r="J948" s="97"/>
      <c r="K948" s="97"/>
      <c r="L948" s="97"/>
      <c r="M948" s="97"/>
      <c r="N948" s="97"/>
      <c r="O948" s="97"/>
      <c r="P948" s="97"/>
      <c r="Q948" s="97"/>
      <c r="R948" s="97"/>
      <c r="S948" s="97"/>
      <c r="T948" s="97"/>
      <c r="U948" s="97"/>
      <c r="V948" s="97"/>
      <c r="W948" s="97"/>
      <c r="X948" s="97"/>
      <c r="Y948" s="97"/>
      <c r="Z948" s="97"/>
      <c r="AA948" s="97"/>
      <c r="AB948" s="97"/>
      <c r="AC948" s="97"/>
      <c r="AD948" s="97"/>
      <c r="AE948" s="97"/>
      <c r="AF948" s="97"/>
      <c r="AG948" s="97"/>
      <c r="AH948" s="97"/>
      <c r="AI948" s="97"/>
      <c r="AJ948" s="97"/>
      <c r="AK948" s="97"/>
    </row>
    <row r="949" spans="1:37" s="9" customFormat="1" x14ac:dyDescent="0.25">
      <c r="B949" s="66"/>
      <c r="C949" s="51"/>
      <c r="I949" s="97"/>
      <c r="J949" s="97"/>
      <c r="K949" s="97"/>
      <c r="L949" s="97"/>
      <c r="M949" s="97"/>
      <c r="N949" s="97"/>
      <c r="O949" s="97"/>
      <c r="P949" s="97"/>
      <c r="Q949" s="97"/>
      <c r="R949" s="97"/>
      <c r="S949" s="97"/>
      <c r="T949" s="97"/>
      <c r="U949" s="97"/>
      <c r="V949" s="97"/>
      <c r="W949" s="97"/>
      <c r="X949" s="97"/>
      <c r="Y949" s="97"/>
      <c r="Z949" s="97"/>
      <c r="AA949" s="97"/>
      <c r="AB949" s="97"/>
      <c r="AC949" s="97"/>
      <c r="AD949" s="97"/>
      <c r="AE949" s="97"/>
      <c r="AF949" s="97"/>
      <c r="AG949" s="97"/>
      <c r="AH949" s="97"/>
      <c r="AI949" s="97"/>
      <c r="AJ949" s="97"/>
      <c r="AK949" s="97"/>
    </row>
    <row r="950" spans="1:37" s="9" customFormat="1" x14ac:dyDescent="0.25">
      <c r="B950" s="66" t="s">
        <v>34</v>
      </c>
      <c r="C950" s="51" t="s">
        <v>615</v>
      </c>
      <c r="H950" s="9" t="s">
        <v>1134</v>
      </c>
      <c r="I950" s="97"/>
      <c r="J950" s="97"/>
      <c r="K950" s="97"/>
      <c r="L950" s="97"/>
      <c r="M950" s="97"/>
      <c r="N950" s="97"/>
      <c r="O950" s="97"/>
      <c r="P950" s="97"/>
      <c r="Q950" s="138">
        <f t="shared" ref="Q950:AK950" si="158">Q951*$T952/$T951</f>
        <v>0.21190687798163468</v>
      </c>
      <c r="R950" s="138">
        <f t="shared" si="158"/>
        <v>0.24400224398633799</v>
      </c>
      <c r="S950" s="138">
        <f t="shared" si="158"/>
        <v>0.17319093451488318</v>
      </c>
      <c r="T950" s="138">
        <f t="shared" si="158"/>
        <v>0.161</v>
      </c>
      <c r="U950" s="138">
        <f t="shared" si="158"/>
        <v>0.18592522367303818</v>
      </c>
      <c r="V950" s="138">
        <f t="shared" si="158"/>
        <v>0.18168581430100816</v>
      </c>
      <c r="W950" s="138">
        <f t="shared" si="158"/>
        <v>0.19793914186377654</v>
      </c>
      <c r="X950" s="138">
        <f t="shared" si="158"/>
        <v>0.19168473616588325</v>
      </c>
      <c r="Y950" s="138">
        <f t="shared" si="158"/>
        <v>0.22016226106860598</v>
      </c>
      <c r="Z950" s="138">
        <f t="shared" si="158"/>
        <v>0.19414487659138485</v>
      </c>
      <c r="AA950" s="138" t="e">
        <f t="shared" si="158"/>
        <v>#DIV/0!</v>
      </c>
      <c r="AB950" s="138" t="e">
        <f t="shared" si="158"/>
        <v>#DIV/0!</v>
      </c>
      <c r="AC950" s="138" t="e">
        <f t="shared" si="158"/>
        <v>#DIV/0!</v>
      </c>
      <c r="AD950" s="138" t="e">
        <f t="shared" si="158"/>
        <v>#DIV/0!</v>
      </c>
      <c r="AE950" s="138" t="e">
        <f t="shared" si="158"/>
        <v>#DIV/0!</v>
      </c>
      <c r="AF950" s="138" t="e">
        <f t="shared" si="158"/>
        <v>#DIV/0!</v>
      </c>
      <c r="AG950" s="138" t="e">
        <f t="shared" si="158"/>
        <v>#DIV/0!</v>
      </c>
      <c r="AH950" s="138" t="e">
        <f t="shared" si="158"/>
        <v>#DIV/0!</v>
      </c>
      <c r="AI950" s="138" t="e">
        <f t="shared" si="158"/>
        <v>#DIV/0!</v>
      </c>
      <c r="AJ950" s="138" t="e">
        <f t="shared" si="158"/>
        <v>#DIV/0!</v>
      </c>
      <c r="AK950" s="138" t="e">
        <f t="shared" si="158"/>
        <v>#DIV/0!</v>
      </c>
    </row>
    <row r="951" spans="1:37" s="9" customFormat="1" x14ac:dyDescent="0.25">
      <c r="B951" s="66"/>
      <c r="C951" s="51"/>
      <c r="D951" s="9" t="s">
        <v>629</v>
      </c>
      <c r="H951" s="9" t="s">
        <v>1135</v>
      </c>
      <c r="I951" s="97"/>
      <c r="J951" s="97"/>
      <c r="K951" s="97"/>
      <c r="L951" s="97"/>
      <c r="M951" s="97"/>
      <c r="N951" s="97"/>
      <c r="O951" s="97"/>
      <c r="P951" s="97"/>
      <c r="Q951" s="138">
        <f>SUM(Datasheet!Q706:Q707)/(Datasheet!Q705-Datasheet!Q708)</f>
        <v>0.16440340394713018</v>
      </c>
      <c r="R951" s="138">
        <f>SUM(Datasheet!R706:R707)/(Datasheet!R705-Datasheet!R708)</f>
        <v>0.18930390492359933</v>
      </c>
      <c r="S951" s="138">
        <f>SUM(Datasheet!S706:S707)/(Datasheet!S705-Datasheet!S708)</f>
        <v>0.13436647001849081</v>
      </c>
      <c r="T951" s="138">
        <f>SUM(Datasheet!T706:T707)/(Datasheet!T705-Datasheet!T708)</f>
        <v>0.12490839508183373</v>
      </c>
      <c r="U951" s="138">
        <f>SUM(Datasheet!U706:U707)/(Datasheet!U705-Datasheet!U708)</f>
        <v>0.14424609499521837</v>
      </c>
      <c r="V951" s="138">
        <f>SUM(Datasheet!V706:V707)/(Datasheet!V705-Datasheet!V708)</f>
        <v>0.14095704020791927</v>
      </c>
      <c r="W951" s="138">
        <f>SUM(Datasheet!W706:W707)/(Datasheet!W705-Datasheet!W708)</f>
        <v>0.15356683561540208</v>
      </c>
      <c r="X951" s="138">
        <f>SUM(Datasheet!X706:X707)/(Datasheet!X705-Datasheet!X708)</f>
        <v>0.14871448916872798</v>
      </c>
      <c r="Y951" s="138">
        <f>SUM(Datasheet!Y706:Y707)/(Datasheet!Y705-Datasheet!Y708)</f>
        <v>0.17080816576190841</v>
      </c>
      <c r="Z951" s="138">
        <f>SUM(Datasheet!Z706:Z707)/(Datasheet!Z705-Datasheet!Z708)</f>
        <v>0.15062313632540714</v>
      </c>
      <c r="AA951" s="138" t="e">
        <f>SUM(Datasheet!AA706:AA707)/(Datasheet!AA705-Datasheet!AA708)</f>
        <v>#DIV/0!</v>
      </c>
      <c r="AB951" s="138" t="e">
        <f>SUM(Datasheet!AB706:AB707)/(Datasheet!AB705-Datasheet!AB708)</f>
        <v>#DIV/0!</v>
      </c>
      <c r="AC951" s="138" t="e">
        <f>SUM(Datasheet!AC706:AC707)/(Datasheet!AC705-Datasheet!AC708)</f>
        <v>#DIV/0!</v>
      </c>
      <c r="AD951" s="138" t="e">
        <f>SUM(Datasheet!AD706:AD707)/(Datasheet!AD705-Datasheet!AD708)</f>
        <v>#DIV/0!</v>
      </c>
      <c r="AE951" s="138" t="e">
        <f>SUM(Datasheet!AE706:AE707)/(Datasheet!AE705-Datasheet!AE708)</f>
        <v>#DIV/0!</v>
      </c>
      <c r="AF951" s="138" t="e">
        <f>SUM(Datasheet!AF706:AF707)/(Datasheet!AF705-Datasheet!AF708)</f>
        <v>#DIV/0!</v>
      </c>
      <c r="AG951" s="138" t="e">
        <f>SUM(Datasheet!AG706:AG707)/(Datasheet!AG705-Datasheet!AG708)</f>
        <v>#DIV/0!</v>
      </c>
      <c r="AH951" s="138" t="e">
        <f>SUM(Datasheet!AH706:AH707)/(Datasheet!AH705-Datasheet!AH708)</f>
        <v>#DIV/0!</v>
      </c>
      <c r="AI951" s="138" t="e">
        <f>SUM(Datasheet!AI706:AI707)/(Datasheet!AI705-Datasheet!AI708)</f>
        <v>#DIV/0!</v>
      </c>
      <c r="AJ951" s="138" t="e">
        <f>SUM(Datasheet!AJ706:AJ707)/(Datasheet!AJ705-Datasheet!AJ708)</f>
        <v>#DIV/0!</v>
      </c>
      <c r="AK951" s="138" t="e">
        <f>SUM(Datasheet!AK706:AK707)/(Datasheet!AK705-Datasheet!AK708)</f>
        <v>#DIV/0!</v>
      </c>
    </row>
    <row r="952" spans="1:37" s="9" customFormat="1" x14ac:dyDescent="0.25">
      <c r="B952" s="66"/>
      <c r="C952" s="248"/>
      <c r="D952" s="9" t="s">
        <v>624</v>
      </c>
      <c r="H952" s="9" t="s">
        <v>1134</v>
      </c>
      <c r="I952" s="97"/>
      <c r="J952" s="97"/>
      <c r="K952" s="97"/>
      <c r="L952" s="97"/>
      <c r="M952" s="97"/>
      <c r="N952" s="97"/>
      <c r="O952" s="97"/>
      <c r="P952" s="97"/>
      <c r="Q952" s="138"/>
      <c r="R952" s="138"/>
      <c r="S952" s="138"/>
      <c r="T952" s="138">
        <v>0.161</v>
      </c>
      <c r="U952" s="138"/>
      <c r="V952" s="138"/>
      <c r="W952" s="138"/>
      <c r="X952" s="138"/>
      <c r="Y952" s="138"/>
      <c r="Z952" s="138"/>
      <c r="AA952" s="138"/>
      <c r="AB952" s="138"/>
      <c r="AC952" s="138"/>
      <c r="AD952" s="138"/>
      <c r="AE952" s="138"/>
      <c r="AF952" s="138"/>
      <c r="AG952" s="138"/>
      <c r="AH952" s="138"/>
      <c r="AI952" s="138"/>
      <c r="AJ952" s="138"/>
      <c r="AK952" s="138"/>
    </row>
    <row r="953" spans="1:37" s="95" customFormat="1" x14ac:dyDescent="0.25">
      <c r="B953" s="131"/>
      <c r="I953" s="132"/>
      <c r="J953" s="132"/>
      <c r="K953" s="132"/>
      <c r="L953" s="132"/>
      <c r="M953" s="132"/>
      <c r="N953" s="132"/>
      <c r="O953" s="132"/>
      <c r="P953" s="132"/>
      <c r="Q953" s="132"/>
      <c r="R953" s="132"/>
      <c r="S953" s="132"/>
      <c r="T953" s="132"/>
      <c r="U953" s="132"/>
      <c r="V953" s="132"/>
      <c r="W953" s="132"/>
      <c r="X953" s="132"/>
      <c r="Y953" s="132"/>
      <c r="Z953" s="132"/>
      <c r="AA953" s="132"/>
      <c r="AB953" s="132"/>
      <c r="AC953" s="132"/>
      <c r="AD953" s="132"/>
      <c r="AE953" s="132"/>
      <c r="AF953" s="132"/>
      <c r="AG953" s="132"/>
      <c r="AH953" s="132"/>
      <c r="AI953" s="132"/>
      <c r="AJ953" s="132"/>
      <c r="AK953" s="132"/>
    </row>
    <row r="954" spans="1:37" s="98" customFormat="1" ht="17.25" x14ac:dyDescent="0.3">
      <c r="A954" s="98" t="s">
        <v>413</v>
      </c>
    </row>
    <row r="955" spans="1:37" x14ac:dyDescent="0.25">
      <c r="B955" s="64" t="s">
        <v>33</v>
      </c>
      <c r="C955" t="s">
        <v>336</v>
      </c>
    </row>
    <row r="956" spans="1:37" x14ac:dyDescent="0.25">
      <c r="B956" s="64" t="s">
        <v>626</v>
      </c>
      <c r="C956" t="s">
        <v>1121</v>
      </c>
    </row>
    <row r="957" spans="1:37" x14ac:dyDescent="0.25">
      <c r="B957" s="64" t="s">
        <v>420</v>
      </c>
      <c r="C957" t="s">
        <v>1122</v>
      </c>
    </row>
    <row r="958" spans="1:37" x14ac:dyDescent="0.25">
      <c r="B958" s="64" t="s">
        <v>429</v>
      </c>
      <c r="C958" s="195" t="s">
        <v>1124</v>
      </c>
    </row>
    <row r="959" spans="1:37" x14ac:dyDescent="0.25">
      <c r="B959" s="64" t="s">
        <v>421</v>
      </c>
      <c r="C959" t="s">
        <v>1123</v>
      </c>
    </row>
    <row r="960" spans="1:37" x14ac:dyDescent="0.25">
      <c r="B960" s="64" t="s">
        <v>425</v>
      </c>
      <c r="C960" t="s">
        <v>1130</v>
      </c>
    </row>
    <row r="961" spans="2:37" x14ac:dyDescent="0.25">
      <c r="B961" s="64" t="s">
        <v>333</v>
      </c>
      <c r="C961" t="s">
        <v>1125</v>
      </c>
    </row>
    <row r="962" spans="2:37" x14ac:dyDescent="0.25">
      <c r="B962" s="64"/>
      <c r="C962" t="s">
        <v>1126</v>
      </c>
    </row>
    <row r="963" spans="2:37" x14ac:dyDescent="0.25">
      <c r="B963" s="64"/>
      <c r="C963" t="s">
        <v>1618</v>
      </c>
    </row>
    <row r="964" spans="2:37" x14ac:dyDescent="0.25">
      <c r="B964" s="64"/>
      <c r="C964" t="s">
        <v>1619</v>
      </c>
    </row>
    <row r="965" spans="2:37" s="121" customFormat="1" ht="15.75" thickBot="1" x14ac:dyDescent="0.3">
      <c r="B965" s="130" t="s">
        <v>334</v>
      </c>
      <c r="C965" s="121" t="s">
        <v>1142</v>
      </c>
    </row>
    <row r="966" spans="2:37" s="9" customFormat="1" ht="15.75" thickTop="1" x14ac:dyDescent="0.25">
      <c r="B966" s="66"/>
      <c r="C966" s="51"/>
      <c r="I966" s="97"/>
      <c r="J966" s="97"/>
      <c r="K966" s="97"/>
      <c r="L966" s="97"/>
      <c r="M966" s="97"/>
      <c r="N966" s="97"/>
      <c r="O966" s="97"/>
      <c r="P966" s="97"/>
      <c r="Q966" s="97"/>
      <c r="R966" s="97"/>
      <c r="S966" s="97"/>
      <c r="T966" s="97"/>
      <c r="U966" s="97"/>
      <c r="V966" s="97"/>
      <c r="W966" s="97"/>
      <c r="X966" s="97"/>
      <c r="Y966" s="97"/>
      <c r="Z966" s="97"/>
      <c r="AA966" s="97"/>
      <c r="AB966" s="97"/>
      <c r="AC966" s="97"/>
      <c r="AD966" s="97"/>
      <c r="AE966" s="97"/>
      <c r="AF966" s="97"/>
      <c r="AG966" s="97"/>
      <c r="AH966" s="97"/>
      <c r="AI966" s="97"/>
      <c r="AJ966" s="97"/>
      <c r="AK966" s="97"/>
    </row>
    <row r="967" spans="2:37" s="9" customFormat="1" x14ac:dyDescent="0.25">
      <c r="B967" s="66"/>
      <c r="C967" s="51"/>
      <c r="I967" s="97"/>
      <c r="J967" s="97"/>
      <c r="K967" s="97"/>
      <c r="L967" s="97"/>
      <c r="M967" s="97"/>
      <c r="N967" s="97"/>
      <c r="O967" s="97"/>
      <c r="P967" s="97"/>
      <c r="Q967" s="97"/>
      <c r="R967" s="97"/>
      <c r="S967" s="97"/>
      <c r="T967" s="97"/>
      <c r="U967" s="97"/>
      <c r="V967" s="97"/>
      <c r="W967" s="97"/>
      <c r="X967" s="97"/>
      <c r="Y967" s="97"/>
      <c r="Z967" s="97"/>
      <c r="AA967" s="97"/>
      <c r="AB967" s="97"/>
      <c r="AC967" s="97"/>
      <c r="AD967" s="97"/>
      <c r="AE967" s="97"/>
      <c r="AF967" s="97"/>
      <c r="AG967" s="97"/>
      <c r="AH967" s="97"/>
      <c r="AI967" s="97"/>
      <c r="AJ967" s="97"/>
      <c r="AK967" s="97"/>
    </row>
    <row r="968" spans="2:37" s="9" customFormat="1" x14ac:dyDescent="0.25">
      <c r="B968" s="66"/>
      <c r="C968" s="51"/>
      <c r="I968" s="97"/>
      <c r="J968" s="97"/>
      <c r="K968" s="97"/>
      <c r="L968" s="97"/>
      <c r="M968" s="97"/>
      <c r="N968" s="97"/>
      <c r="O968" s="97"/>
      <c r="P968" s="97"/>
      <c r="Q968" s="97"/>
      <c r="R968" s="97"/>
      <c r="S968" s="97"/>
      <c r="T968" s="97"/>
      <c r="U968" s="97"/>
      <c r="V968" s="97"/>
      <c r="W968" s="97"/>
      <c r="X968" s="97"/>
      <c r="Y968" s="97"/>
      <c r="Z968" s="97"/>
      <c r="AA968" s="97"/>
      <c r="AB968" s="97"/>
      <c r="AC968" s="97"/>
      <c r="AD968" s="97"/>
      <c r="AE968" s="97"/>
      <c r="AF968" s="97"/>
      <c r="AG968" s="97"/>
      <c r="AH968" s="97"/>
      <c r="AI968" s="97"/>
      <c r="AJ968" s="97"/>
      <c r="AK968" s="97"/>
    </row>
    <row r="969" spans="2:37" s="9" customFormat="1" x14ac:dyDescent="0.25">
      <c r="B969" s="66"/>
      <c r="C969" s="51"/>
      <c r="I969" s="97"/>
      <c r="J969" s="97"/>
      <c r="K969" s="97"/>
      <c r="L969" s="97"/>
      <c r="M969" s="97"/>
      <c r="N969" s="97"/>
      <c r="O969" s="97"/>
      <c r="P969" s="97"/>
      <c r="Q969" s="97"/>
      <c r="R969" s="97"/>
      <c r="S969" s="97"/>
      <c r="T969" s="97"/>
      <c r="U969" s="97"/>
      <c r="V969" s="97"/>
      <c r="W969" s="97"/>
      <c r="X969" s="97"/>
      <c r="Y969" s="97"/>
      <c r="Z969" s="97"/>
      <c r="AA969" s="97"/>
      <c r="AB969" s="97"/>
      <c r="AC969" s="97"/>
      <c r="AD969" s="97"/>
      <c r="AE969" s="97"/>
      <c r="AF969" s="97"/>
      <c r="AG969" s="97"/>
      <c r="AH969" s="97"/>
      <c r="AI969" s="97"/>
      <c r="AJ969" s="97"/>
      <c r="AK969" s="97"/>
    </row>
    <row r="970" spans="2:37" s="9" customFormat="1" x14ac:dyDescent="0.25">
      <c r="B970" s="66"/>
      <c r="C970" s="51"/>
      <c r="I970" s="97"/>
      <c r="J970" s="97"/>
      <c r="K970" s="97"/>
      <c r="L970" s="97"/>
      <c r="M970" s="97"/>
      <c r="N970" s="97"/>
      <c r="O970" s="97"/>
      <c r="P970" s="97"/>
      <c r="Q970" s="97"/>
      <c r="R970" s="97"/>
      <c r="S970" s="97"/>
      <c r="T970" s="97"/>
      <c r="U970" s="97"/>
      <c r="V970" s="97"/>
      <c r="W970" s="97"/>
      <c r="X970" s="97"/>
      <c r="Y970" s="97"/>
      <c r="Z970" s="97"/>
      <c r="AA970" s="97"/>
      <c r="AB970" s="97"/>
      <c r="AC970" s="97"/>
      <c r="AD970" s="97"/>
      <c r="AE970" s="97"/>
      <c r="AF970" s="97"/>
      <c r="AG970" s="97"/>
      <c r="AH970" s="97"/>
      <c r="AI970" s="97"/>
      <c r="AJ970" s="97"/>
      <c r="AK970" s="97"/>
    </row>
    <row r="971" spans="2:37" s="9" customFormat="1" x14ac:dyDescent="0.25">
      <c r="B971" s="66"/>
      <c r="C971" s="51"/>
      <c r="I971" s="97"/>
      <c r="J971" s="97"/>
      <c r="K971" s="97"/>
      <c r="L971" s="97"/>
      <c r="M971" s="97"/>
      <c r="N971" s="97"/>
      <c r="O971" s="97"/>
      <c r="P971" s="97"/>
      <c r="Q971" s="97"/>
      <c r="R971" s="97"/>
      <c r="S971" s="97"/>
      <c r="T971" s="97"/>
      <c r="U971" s="97"/>
      <c r="V971" s="97"/>
      <c r="W971" s="97"/>
      <c r="X971" s="97"/>
      <c r="Y971" s="97"/>
      <c r="Z971" s="97"/>
      <c r="AA971" s="97"/>
      <c r="AB971" s="97"/>
      <c r="AC971" s="97"/>
      <c r="AD971" s="97"/>
      <c r="AE971" s="97"/>
      <c r="AF971" s="97"/>
      <c r="AG971" s="97"/>
      <c r="AH971" s="97"/>
      <c r="AI971" s="97"/>
      <c r="AJ971" s="97"/>
      <c r="AK971" s="97"/>
    </row>
    <row r="972" spans="2:37" s="9" customFormat="1" x14ac:dyDescent="0.25">
      <c r="B972" s="66"/>
      <c r="C972" s="51"/>
      <c r="I972" s="97"/>
      <c r="J972" s="97"/>
      <c r="K972" s="97"/>
      <c r="L972" s="97"/>
      <c r="M972" s="97"/>
      <c r="N972" s="97"/>
      <c r="O972" s="97"/>
      <c r="P972" s="97"/>
      <c r="Q972" s="97"/>
      <c r="R972" s="97"/>
      <c r="S972" s="97"/>
      <c r="T972" s="97"/>
      <c r="U972" s="97"/>
      <c r="V972" s="97"/>
      <c r="W972" s="97"/>
      <c r="X972" s="97"/>
      <c r="Y972" s="97"/>
      <c r="Z972" s="97"/>
      <c r="AA972" s="97"/>
      <c r="AB972" s="97"/>
      <c r="AC972" s="97"/>
      <c r="AD972" s="97"/>
      <c r="AE972" s="97"/>
      <c r="AF972" s="97"/>
      <c r="AG972" s="97"/>
      <c r="AH972" s="97"/>
      <c r="AI972" s="97"/>
      <c r="AJ972" s="97"/>
      <c r="AK972" s="97"/>
    </row>
    <row r="973" spans="2:37" s="9" customFormat="1" x14ac:dyDescent="0.25">
      <c r="B973" s="66"/>
      <c r="C973" s="51"/>
      <c r="I973" s="97"/>
      <c r="J973" s="97"/>
      <c r="K973" s="97"/>
      <c r="L973" s="97"/>
      <c r="M973" s="97"/>
      <c r="N973" s="97"/>
      <c r="O973" s="97"/>
      <c r="P973" s="97"/>
      <c r="Q973" s="97"/>
      <c r="R973" s="97"/>
      <c r="S973" s="97"/>
      <c r="T973" s="97"/>
      <c r="U973" s="97"/>
      <c r="V973" s="97"/>
      <c r="W973" s="97"/>
      <c r="X973" s="97"/>
      <c r="Y973" s="97"/>
      <c r="Z973" s="97"/>
      <c r="AA973" s="97"/>
      <c r="AB973" s="97"/>
      <c r="AC973" s="97"/>
      <c r="AD973" s="97"/>
      <c r="AE973" s="97"/>
      <c r="AF973" s="97"/>
      <c r="AG973" s="97"/>
      <c r="AH973" s="97"/>
      <c r="AI973" s="97"/>
      <c r="AJ973" s="97"/>
      <c r="AK973" s="97"/>
    </row>
    <row r="974" spans="2:37" s="9" customFormat="1" x14ac:dyDescent="0.25">
      <c r="B974" s="66"/>
      <c r="C974" s="51"/>
      <c r="I974" s="97"/>
      <c r="J974" s="97"/>
      <c r="K974" s="97"/>
      <c r="L974" s="97"/>
      <c r="M974" s="97"/>
      <c r="N974" s="97"/>
      <c r="O974" s="97"/>
      <c r="P974" s="97"/>
      <c r="Q974" s="97"/>
      <c r="R974" s="97"/>
      <c r="S974" s="97"/>
      <c r="T974" s="97"/>
      <c r="U974" s="97"/>
      <c r="V974" s="97"/>
      <c r="W974" s="97"/>
      <c r="X974" s="97"/>
      <c r="Y974" s="97"/>
      <c r="Z974" s="97"/>
      <c r="AA974" s="97"/>
      <c r="AB974" s="97"/>
      <c r="AC974" s="97"/>
      <c r="AD974" s="97"/>
      <c r="AE974" s="97"/>
      <c r="AF974" s="97"/>
      <c r="AG974" s="97"/>
      <c r="AH974" s="97"/>
      <c r="AI974" s="97"/>
      <c r="AJ974" s="97"/>
      <c r="AK974" s="97"/>
    </row>
    <row r="975" spans="2:37" s="9" customFormat="1" x14ac:dyDescent="0.25">
      <c r="B975" s="66"/>
      <c r="C975" s="51"/>
      <c r="I975" s="97"/>
      <c r="J975" s="97"/>
      <c r="K975" s="97"/>
      <c r="L975" s="97"/>
      <c r="M975" s="97"/>
      <c r="N975" s="97"/>
      <c r="O975" s="97"/>
      <c r="P975" s="97"/>
      <c r="Q975" s="97"/>
      <c r="R975" s="97"/>
      <c r="S975" s="97"/>
      <c r="T975" s="97"/>
      <c r="U975" s="97"/>
      <c r="V975" s="97"/>
      <c r="W975" s="97"/>
      <c r="X975" s="97"/>
      <c r="Y975" s="97"/>
      <c r="Z975" s="97"/>
      <c r="AA975" s="97"/>
      <c r="AB975" s="97"/>
      <c r="AC975" s="97"/>
      <c r="AD975" s="97"/>
      <c r="AE975" s="97"/>
      <c r="AF975" s="97"/>
      <c r="AG975" s="97"/>
      <c r="AH975" s="97"/>
      <c r="AI975" s="97"/>
      <c r="AJ975" s="97"/>
      <c r="AK975" s="97"/>
    </row>
    <row r="976" spans="2:37" s="9" customFormat="1" x14ac:dyDescent="0.25">
      <c r="B976" s="66"/>
      <c r="C976" s="51"/>
      <c r="I976" s="97"/>
      <c r="J976" s="97"/>
      <c r="K976" s="97"/>
      <c r="L976" s="97"/>
      <c r="M976" s="97"/>
      <c r="N976" s="97"/>
      <c r="O976" s="97"/>
      <c r="P976" s="97"/>
      <c r="Q976" s="97"/>
      <c r="R976" s="97"/>
      <c r="S976" s="97"/>
      <c r="T976" s="97"/>
      <c r="U976" s="97"/>
      <c r="V976" s="97"/>
      <c r="W976" s="97"/>
      <c r="X976" s="97"/>
      <c r="Y976" s="97"/>
      <c r="Z976" s="97"/>
      <c r="AA976" s="97"/>
      <c r="AB976" s="97"/>
      <c r="AC976" s="97"/>
      <c r="AD976" s="97"/>
      <c r="AE976" s="97"/>
      <c r="AF976" s="97"/>
      <c r="AG976" s="97"/>
      <c r="AH976" s="97"/>
      <c r="AI976" s="97"/>
      <c r="AJ976" s="97"/>
      <c r="AK976" s="97"/>
    </row>
    <row r="977" spans="2:37" s="9" customFormat="1" x14ac:dyDescent="0.25">
      <c r="B977" s="66"/>
      <c r="C977" s="51"/>
      <c r="I977" s="97"/>
      <c r="J977" s="97"/>
      <c r="K977" s="97"/>
      <c r="L977" s="97"/>
      <c r="M977" s="97"/>
      <c r="N977" s="97"/>
      <c r="O977" s="97"/>
      <c r="P977" s="97"/>
      <c r="Q977" s="97"/>
      <c r="R977" s="97"/>
      <c r="S977" s="97"/>
      <c r="T977" s="97"/>
      <c r="U977" s="97"/>
      <c r="V977" s="97"/>
      <c r="W977" s="97"/>
      <c r="X977" s="97"/>
      <c r="Y977" s="97"/>
      <c r="Z977" s="97"/>
      <c r="AA977" s="97"/>
      <c r="AB977" s="97"/>
      <c r="AC977" s="97"/>
      <c r="AD977" s="97"/>
      <c r="AE977" s="97"/>
      <c r="AF977" s="97"/>
      <c r="AG977" s="97"/>
      <c r="AH977" s="97"/>
      <c r="AI977" s="97"/>
      <c r="AJ977" s="97"/>
      <c r="AK977" s="97"/>
    </row>
    <row r="978" spans="2:37" s="9" customFormat="1" x14ac:dyDescent="0.25">
      <c r="B978" s="66"/>
      <c r="C978" s="51"/>
      <c r="I978" s="97"/>
      <c r="J978" s="97"/>
      <c r="K978" s="97"/>
      <c r="L978" s="97"/>
      <c r="M978" s="97"/>
      <c r="N978" s="97"/>
      <c r="O978" s="97"/>
      <c r="P978" s="97"/>
      <c r="Q978" s="97"/>
      <c r="R978" s="97"/>
      <c r="S978" s="97"/>
      <c r="T978" s="97"/>
      <c r="U978" s="97"/>
      <c r="V978" s="97"/>
      <c r="W978" s="97"/>
      <c r="X978" s="97"/>
      <c r="Y978" s="97"/>
      <c r="Z978" s="97"/>
      <c r="AA978" s="97"/>
      <c r="AB978" s="97"/>
      <c r="AC978" s="97"/>
      <c r="AD978" s="97"/>
      <c r="AE978" s="97"/>
      <c r="AF978" s="97"/>
      <c r="AG978" s="97"/>
      <c r="AH978" s="97"/>
      <c r="AI978" s="97"/>
      <c r="AJ978" s="97"/>
      <c r="AK978" s="97"/>
    </row>
    <row r="979" spans="2:37" s="9" customFormat="1" x14ac:dyDescent="0.25">
      <c r="B979" s="66"/>
      <c r="C979" s="51"/>
      <c r="I979" s="97"/>
      <c r="J979" s="97"/>
      <c r="K979" s="97"/>
      <c r="L979" s="97"/>
      <c r="M979" s="97"/>
      <c r="N979" s="97"/>
      <c r="O979" s="97"/>
      <c r="P979" s="97"/>
      <c r="Q979" s="97"/>
      <c r="R979" s="97"/>
      <c r="S979" s="97"/>
      <c r="T979" s="97"/>
      <c r="U979" s="97"/>
      <c r="V979" s="97"/>
      <c r="W979" s="97"/>
      <c r="X979" s="97"/>
      <c r="Y979" s="97"/>
      <c r="Z979" s="97"/>
      <c r="AA979" s="97"/>
      <c r="AB979" s="97"/>
      <c r="AC979" s="97"/>
      <c r="AD979" s="97"/>
      <c r="AE979" s="97"/>
      <c r="AF979" s="97"/>
      <c r="AG979" s="97"/>
      <c r="AH979" s="97"/>
      <c r="AI979" s="97"/>
      <c r="AJ979" s="97"/>
      <c r="AK979" s="97"/>
    </row>
    <row r="980" spans="2:37" s="9" customFormat="1" x14ac:dyDescent="0.25">
      <c r="B980" s="66"/>
      <c r="C980" s="51"/>
      <c r="I980" s="97"/>
      <c r="J980" s="97"/>
      <c r="K980" s="97"/>
      <c r="L980" s="97"/>
      <c r="M980" s="97"/>
      <c r="N980" s="97"/>
      <c r="O980" s="97"/>
      <c r="P980" s="97"/>
      <c r="Q980" s="97"/>
      <c r="R980" s="97"/>
      <c r="S980" s="97"/>
      <c r="T980" s="97"/>
      <c r="U980" s="97"/>
      <c r="V980" s="97"/>
      <c r="W980" s="97"/>
      <c r="X980" s="97"/>
      <c r="Y980" s="97"/>
      <c r="Z980" s="97"/>
      <c r="AA980" s="97"/>
      <c r="AB980" s="97"/>
      <c r="AC980" s="97"/>
      <c r="AD980" s="97"/>
      <c r="AE980" s="97"/>
      <c r="AF980" s="97"/>
      <c r="AG980" s="97"/>
      <c r="AH980" s="97"/>
      <c r="AI980" s="97"/>
      <c r="AJ980" s="97"/>
      <c r="AK980" s="97"/>
    </row>
    <row r="981" spans="2:37" s="9" customFormat="1" x14ac:dyDescent="0.25">
      <c r="B981" s="66" t="s">
        <v>34</v>
      </c>
      <c r="C981" s="51" t="s">
        <v>1131</v>
      </c>
      <c r="I981" s="97"/>
      <c r="J981" s="97"/>
      <c r="K981" s="97"/>
      <c r="L981" s="97"/>
      <c r="M981" s="97"/>
      <c r="N981" s="97"/>
      <c r="O981" s="97"/>
      <c r="P981" s="97"/>
      <c r="Q981" s="97"/>
      <c r="R981" s="97"/>
      <c r="S981" s="97"/>
      <c r="T981" s="97"/>
      <c r="U981" s="97"/>
      <c r="V981" s="97"/>
      <c r="W981" s="97"/>
      <c r="X981" s="97"/>
      <c r="Y981" s="97"/>
      <c r="Z981" s="97"/>
      <c r="AA981" s="97"/>
      <c r="AB981" s="97"/>
      <c r="AC981" s="97"/>
      <c r="AD981" s="97"/>
      <c r="AE981" s="97"/>
      <c r="AF981" s="97"/>
      <c r="AG981" s="97"/>
      <c r="AH981" s="97"/>
      <c r="AI981" s="97"/>
      <c r="AJ981" s="97"/>
      <c r="AK981" s="97"/>
    </row>
    <row r="982" spans="2:37" s="109" customFormat="1" x14ac:dyDescent="0.25">
      <c r="B982" s="182"/>
      <c r="C982" s="129"/>
      <c r="E982" s="109" t="s">
        <v>1139</v>
      </c>
      <c r="I982" s="136">
        <v>100000</v>
      </c>
      <c r="J982" s="136">
        <v>100000</v>
      </c>
      <c r="K982" s="136">
        <v>100000</v>
      </c>
      <c r="L982" s="136">
        <v>100000</v>
      </c>
      <c r="M982" s="136">
        <v>100000</v>
      </c>
      <c r="N982" s="136">
        <v>100000</v>
      </c>
      <c r="O982" s="136">
        <v>100000</v>
      </c>
      <c r="P982" s="136">
        <v>100000</v>
      </c>
      <c r="Q982" s="136">
        <v>100000</v>
      </c>
      <c r="R982" s="136">
        <v>100000</v>
      </c>
      <c r="S982" s="136">
        <v>100000</v>
      </c>
      <c r="T982" s="136">
        <v>100000</v>
      </c>
      <c r="U982" s="136">
        <v>100000</v>
      </c>
      <c r="V982" s="136">
        <v>100000</v>
      </c>
      <c r="W982" s="136">
        <v>100000</v>
      </c>
      <c r="X982" s="136">
        <v>100000</v>
      </c>
      <c r="Y982" s="136">
        <v>100000</v>
      </c>
      <c r="Z982" s="136">
        <v>100000</v>
      </c>
      <c r="AA982" s="136">
        <v>100000</v>
      </c>
      <c r="AB982" s="136">
        <v>100000</v>
      </c>
      <c r="AC982" s="136">
        <v>100000</v>
      </c>
      <c r="AD982" s="136">
        <v>100000</v>
      </c>
      <c r="AE982" s="136">
        <v>100000</v>
      </c>
      <c r="AF982" s="136">
        <v>100000</v>
      </c>
      <c r="AG982" s="136">
        <v>100000</v>
      </c>
      <c r="AH982" s="136">
        <v>100000</v>
      </c>
      <c r="AI982" s="136">
        <v>100000</v>
      </c>
      <c r="AJ982" s="136">
        <v>100000</v>
      </c>
      <c r="AK982" s="136">
        <v>100000</v>
      </c>
    </row>
    <row r="983" spans="2:37" s="9" customFormat="1" x14ac:dyDescent="0.25">
      <c r="B983" s="66"/>
      <c r="C983" s="248"/>
      <c r="D983" s="9" t="s">
        <v>1127</v>
      </c>
      <c r="H983" s="9" t="s">
        <v>1136</v>
      </c>
      <c r="I983" s="97">
        <v>20000</v>
      </c>
      <c r="J983" s="97">
        <v>20000</v>
      </c>
      <c r="K983" s="97">
        <v>20000</v>
      </c>
      <c r="L983" s="97">
        <v>20000</v>
      </c>
      <c r="M983" s="97">
        <v>20000</v>
      </c>
      <c r="N983" s="97">
        <v>20000</v>
      </c>
      <c r="O983" s="97">
        <v>20000</v>
      </c>
      <c r="P983" s="97">
        <v>20000</v>
      </c>
      <c r="Q983" s="97">
        <v>20000</v>
      </c>
      <c r="R983" s="97">
        <v>20000</v>
      </c>
      <c r="S983" s="97">
        <v>20000</v>
      </c>
      <c r="T983" s="97">
        <v>20000</v>
      </c>
      <c r="U983" s="97">
        <v>20000</v>
      </c>
      <c r="V983" s="97">
        <v>20000</v>
      </c>
      <c r="W983" s="97">
        <v>20000</v>
      </c>
      <c r="X983" s="97">
        <v>20000</v>
      </c>
      <c r="Y983" s="97">
        <v>20000</v>
      </c>
      <c r="Z983" s="97">
        <v>20000</v>
      </c>
      <c r="AA983" s="97">
        <v>20000</v>
      </c>
      <c r="AB983" s="97">
        <v>20000</v>
      </c>
      <c r="AC983" s="97">
        <v>20000</v>
      </c>
      <c r="AD983" s="97">
        <v>20000</v>
      </c>
      <c r="AE983" s="97">
        <v>20000</v>
      </c>
      <c r="AF983" s="97">
        <v>20000</v>
      </c>
      <c r="AG983" s="97">
        <v>20000</v>
      </c>
      <c r="AH983" s="97">
        <v>20000</v>
      </c>
      <c r="AI983" s="97">
        <v>20000</v>
      </c>
      <c r="AJ983" s="97">
        <v>20000</v>
      </c>
      <c r="AK983" s="97">
        <v>20000</v>
      </c>
    </row>
    <row r="984" spans="2:37" s="109" customFormat="1" x14ac:dyDescent="0.25">
      <c r="B984" s="182"/>
      <c r="C984" s="129"/>
      <c r="E984" s="109" t="s">
        <v>1138</v>
      </c>
      <c r="I984" s="136">
        <f>I983-I985</f>
        <v>1400</v>
      </c>
      <c r="J984" s="136">
        <f t="shared" ref="J984:AK984" si="159">J983-J985</f>
        <v>1400</v>
      </c>
      <c r="K984" s="136">
        <f t="shared" si="159"/>
        <v>1400</v>
      </c>
      <c r="L984" s="136">
        <f t="shared" si="159"/>
        <v>1400</v>
      </c>
      <c r="M984" s="136">
        <f t="shared" si="159"/>
        <v>1400</v>
      </c>
      <c r="N984" s="136">
        <f t="shared" si="159"/>
        <v>1400</v>
      </c>
      <c r="O984" s="136">
        <f t="shared" si="159"/>
        <v>1400</v>
      </c>
      <c r="P984" s="136">
        <f t="shared" si="159"/>
        <v>1400</v>
      </c>
      <c r="Q984" s="136">
        <f t="shared" si="159"/>
        <v>1400</v>
      </c>
      <c r="R984" s="136">
        <f t="shared" si="159"/>
        <v>1400</v>
      </c>
      <c r="S984" s="136">
        <f t="shared" si="159"/>
        <v>1400</v>
      </c>
      <c r="T984" s="136">
        <f t="shared" si="159"/>
        <v>1400</v>
      </c>
      <c r="U984" s="136">
        <f t="shared" si="159"/>
        <v>1400</v>
      </c>
      <c r="V984" s="136">
        <f t="shared" si="159"/>
        <v>1400</v>
      </c>
      <c r="W984" s="136">
        <f t="shared" si="159"/>
        <v>1400</v>
      </c>
      <c r="X984" s="136">
        <f t="shared" si="159"/>
        <v>1400</v>
      </c>
      <c r="Y984" s="136">
        <f t="shared" si="159"/>
        <v>1400</v>
      </c>
      <c r="Z984" s="136">
        <f t="shared" si="159"/>
        <v>1400</v>
      </c>
      <c r="AA984" s="136">
        <f t="shared" si="159"/>
        <v>1400</v>
      </c>
      <c r="AB984" s="136">
        <f t="shared" si="159"/>
        <v>1400</v>
      </c>
      <c r="AC984" s="136">
        <f t="shared" si="159"/>
        <v>1400</v>
      </c>
      <c r="AD984" s="136">
        <f t="shared" si="159"/>
        <v>1400</v>
      </c>
      <c r="AE984" s="136">
        <f t="shared" si="159"/>
        <v>1400</v>
      </c>
      <c r="AF984" s="136">
        <f t="shared" si="159"/>
        <v>1400</v>
      </c>
      <c r="AG984" s="136">
        <f t="shared" si="159"/>
        <v>1400</v>
      </c>
      <c r="AH984" s="136">
        <f t="shared" si="159"/>
        <v>1400</v>
      </c>
      <c r="AI984" s="136">
        <f t="shared" si="159"/>
        <v>1400</v>
      </c>
      <c r="AJ984" s="136">
        <f t="shared" si="159"/>
        <v>1400</v>
      </c>
      <c r="AK984" s="136">
        <f t="shared" si="159"/>
        <v>1400</v>
      </c>
    </row>
    <row r="985" spans="2:37" s="9" customFormat="1" x14ac:dyDescent="0.25">
      <c r="B985" s="66"/>
      <c r="C985" s="248"/>
      <c r="D985" s="9" t="s">
        <v>1128</v>
      </c>
      <c r="H985" s="9" t="s">
        <v>1136</v>
      </c>
      <c r="I985" s="97">
        <v>18600</v>
      </c>
      <c r="J985" s="97">
        <v>18600</v>
      </c>
      <c r="K985" s="97">
        <v>18600</v>
      </c>
      <c r="L985" s="97">
        <v>18600</v>
      </c>
      <c r="M985" s="97">
        <v>18600</v>
      </c>
      <c r="N985" s="97">
        <v>18600</v>
      </c>
      <c r="O985" s="97">
        <v>18600</v>
      </c>
      <c r="P985" s="97">
        <v>18600</v>
      </c>
      <c r="Q985" s="97">
        <v>18600</v>
      </c>
      <c r="R985" s="97">
        <v>18600</v>
      </c>
      <c r="S985" s="97">
        <v>18600</v>
      </c>
      <c r="T985" s="97">
        <v>18600</v>
      </c>
      <c r="U985" s="97">
        <v>18600</v>
      </c>
      <c r="V985" s="97">
        <v>18600</v>
      </c>
      <c r="W985" s="97">
        <v>18600</v>
      </c>
      <c r="X985" s="97">
        <v>18600</v>
      </c>
      <c r="Y985" s="97">
        <v>18600</v>
      </c>
      <c r="Z985" s="97">
        <v>18600</v>
      </c>
      <c r="AA985" s="97">
        <v>18600</v>
      </c>
      <c r="AB985" s="97">
        <v>18600</v>
      </c>
      <c r="AC985" s="97">
        <v>18600</v>
      </c>
      <c r="AD985" s="97">
        <v>18600</v>
      </c>
      <c r="AE985" s="97">
        <v>18600</v>
      </c>
      <c r="AF985" s="97">
        <v>18600</v>
      </c>
      <c r="AG985" s="97">
        <v>18600</v>
      </c>
      <c r="AH985" s="97">
        <v>18600</v>
      </c>
      <c r="AI985" s="97">
        <v>18600</v>
      </c>
      <c r="AJ985" s="97">
        <v>18600</v>
      </c>
      <c r="AK985" s="97">
        <v>18600</v>
      </c>
    </row>
    <row r="986" spans="2:37" s="9" customFormat="1" x14ac:dyDescent="0.25">
      <c r="B986" s="66"/>
      <c r="C986" s="248"/>
      <c r="D986" s="9" t="s">
        <v>1129</v>
      </c>
      <c r="H986" s="9" t="s">
        <v>1136</v>
      </c>
      <c r="I986" s="97"/>
      <c r="J986" s="97"/>
      <c r="K986" s="97"/>
      <c r="L986" s="97"/>
      <c r="M986" s="97"/>
      <c r="N986" s="97"/>
      <c r="O986" s="97"/>
      <c r="P986" s="97">
        <f>_xlfn.FORECAST.LINEAR(P$2,CHOOSE({1;2},23800,27000),CHOOSE({1;2},2024,2035))</f>
        <v>19436.363636363647</v>
      </c>
      <c r="Q986" s="97">
        <f>_xlfn.FORECAST.LINEAR(Q$2,CHOOSE({1;2},23800,27000),CHOOSE({1;2},2024,2035))</f>
        <v>19727.272727272823</v>
      </c>
      <c r="R986" s="97">
        <f>_xlfn.FORECAST.LINEAR(R$2,CHOOSE({1;2},23800,27000),CHOOSE({1;2},2024,2035))</f>
        <v>20018.181818181882</v>
      </c>
      <c r="S986" s="97">
        <f>_xlfn.FORECAST.LINEAR(S$2,CHOOSE({1;2},23800,27000),CHOOSE({1;2},2024,2035))</f>
        <v>20309.090909090941</v>
      </c>
      <c r="T986" s="97">
        <f>_xlfn.FORECAST.LINEAR(T$2,CHOOSE({1;2},23800,27000),CHOOSE({1;2},2024,2035))</f>
        <v>20600</v>
      </c>
      <c r="U986" s="97">
        <f>_xlfn.FORECAST.LINEAR(U$2,CHOOSE({1;2},23800,27000),CHOOSE({1;2},2024,2035))</f>
        <v>20890.909090909176</v>
      </c>
      <c r="V986" s="97">
        <f>_xlfn.FORECAST.LINEAR(V$2,CHOOSE({1;2},23800,27000),CHOOSE({1;2},2024,2035))</f>
        <v>21181.818181818235</v>
      </c>
      <c r="W986" s="97">
        <f>_xlfn.FORECAST.LINEAR(W$2,CHOOSE({1;2},23800,27000),CHOOSE({1;2},2024,2035))</f>
        <v>21472.727272727294</v>
      </c>
      <c r="X986" s="97">
        <f>_xlfn.FORECAST.LINEAR(X$2,CHOOSE({1;2},23800,27000),CHOOSE({1;2},2024,2035))</f>
        <v>21763.636363636469</v>
      </c>
      <c r="Y986" s="97">
        <f>_xlfn.FORECAST.LINEAR(Y$2,CHOOSE({1;2},23800,27000),CHOOSE({1;2},2024,2035))</f>
        <v>22054.545454545529</v>
      </c>
      <c r="Z986" s="97">
        <f>_xlfn.FORECAST.LINEAR(Z$2,CHOOSE({1;2},23800,27000),CHOOSE({1;2},2024,2035))</f>
        <v>22345.454545454588</v>
      </c>
      <c r="AA986" s="97">
        <f>_xlfn.FORECAST.LINEAR(AA$2,CHOOSE({1;2},23800,27000),CHOOSE({1;2},2024,2035))</f>
        <v>22636.363636363647</v>
      </c>
      <c r="AB986" s="97">
        <f>_xlfn.FORECAST.LINEAR(AB$2,CHOOSE({1;2},23800,27000),CHOOSE({1;2},2024,2035))</f>
        <v>22927.272727272823</v>
      </c>
      <c r="AC986" s="97">
        <f>_xlfn.FORECAST.LINEAR(AC$2,CHOOSE({1;2},23800,27000),CHOOSE({1;2},2024,2035))</f>
        <v>23218.181818181882</v>
      </c>
      <c r="AD986" s="97">
        <f>_xlfn.FORECAST.LINEAR(AD$2,CHOOSE({1;2},23800,27000),CHOOSE({1;2},2024,2035))</f>
        <v>23509.090909090941</v>
      </c>
      <c r="AE986" s="97">
        <f>_xlfn.FORECAST.LINEAR(AE$2,CHOOSE({1;2},23800,27000),CHOOSE({1;2},2024,2035))</f>
        <v>23800</v>
      </c>
      <c r="AF986" s="97">
        <f>_xlfn.FORECAST.LINEAR(AF$2,CHOOSE({1;2},23800,27000),CHOOSE({1;2},2024,2035))</f>
        <v>24090.909090909176</v>
      </c>
      <c r="AG986" s="97">
        <f>_xlfn.FORECAST.LINEAR(AG$2,CHOOSE({1;2},23800,27000),CHOOSE({1;2},2024,2035))</f>
        <v>24381.818181818235</v>
      </c>
      <c r="AH986" s="97">
        <f>_xlfn.FORECAST.LINEAR(AH$2,CHOOSE({1;2},23800,27000),CHOOSE({1;2},2024,2035))</f>
        <v>24672.727272727294</v>
      </c>
      <c r="AI986" s="97">
        <f>_xlfn.FORECAST.LINEAR(AI$2,CHOOSE({1;2},23800,27000),CHOOSE({1;2},2024,2035))</f>
        <v>24963.636363636469</v>
      </c>
      <c r="AJ986" s="97">
        <f>_xlfn.FORECAST.LINEAR(AJ$2,CHOOSE({1;2},23800,27000),CHOOSE({1;2},2024,2035))</f>
        <v>25254.545454545529</v>
      </c>
      <c r="AK986" s="97">
        <f>_xlfn.FORECAST.LINEAR(AK$2,CHOOSE({1;2},23800,27000),CHOOSE({1;2},2024,2035))</f>
        <v>25545.454545454588</v>
      </c>
    </row>
    <row r="987" spans="2:37" s="9" customFormat="1" x14ac:dyDescent="0.25">
      <c r="B987" s="66"/>
      <c r="C987" s="248"/>
      <c r="D987" s="9" t="s">
        <v>1137</v>
      </c>
      <c r="H987" s="9" t="s">
        <v>1136</v>
      </c>
      <c r="I987" s="97"/>
      <c r="J987" s="97"/>
      <c r="K987" s="97"/>
      <c r="L987" s="97"/>
      <c r="M987" s="97"/>
      <c r="N987" s="97"/>
      <c r="O987" s="97"/>
      <c r="P987" s="97"/>
      <c r="Q987" s="97"/>
      <c r="R987" s="97"/>
      <c r="S987" s="97"/>
      <c r="T987" s="97"/>
      <c r="U987" s="97"/>
      <c r="V987" s="97"/>
      <c r="W987" s="97">
        <f>_xlfn.FORECAST.LINEAR(W$2,CHOOSE({1;2},22700,24400),CHOOSE({1;2},2024,2035))</f>
        <v>21463.636363636353</v>
      </c>
      <c r="X987" s="97">
        <f>_xlfn.FORECAST.LINEAR(X$2,CHOOSE({1;2},22700,24400),CHOOSE({1;2},2024,2035))</f>
        <v>21618.181818181765</v>
      </c>
      <c r="Y987" s="97">
        <f>_xlfn.FORECAST.LINEAR(Y$2,CHOOSE({1;2},22700,24400),CHOOSE({1;2},2024,2035))</f>
        <v>21772.727272727236</v>
      </c>
      <c r="Z987" s="97">
        <f>_xlfn.FORECAST.LINEAR(Z$2,CHOOSE({1;2},22700,24400),CHOOSE({1;2},2024,2035))</f>
        <v>21927.272727272706</v>
      </c>
      <c r="AA987" s="97">
        <f>_xlfn.FORECAST.LINEAR(AA$2,CHOOSE({1;2},22700,24400),CHOOSE({1;2},2024,2035))</f>
        <v>22081.818181818177</v>
      </c>
      <c r="AB987" s="97">
        <f>_xlfn.FORECAST.LINEAR(AB$2,CHOOSE({1;2},22700,24400),CHOOSE({1;2},2024,2035))</f>
        <v>22236.363636363589</v>
      </c>
      <c r="AC987" s="97">
        <f>_xlfn.FORECAST.LINEAR(AC$2,CHOOSE({1;2},22700,24400),CHOOSE({1;2},2024,2035))</f>
        <v>22390.909090909059</v>
      </c>
      <c r="AD987" s="97">
        <f>_xlfn.FORECAST.LINEAR(AD$2,CHOOSE({1;2},22700,24400),CHOOSE({1;2},2024,2035))</f>
        <v>22545.45454545453</v>
      </c>
      <c r="AE987" s="97">
        <f>_xlfn.FORECAST.LINEAR(AE$2,CHOOSE({1;2},22700,24400),CHOOSE({1;2},2024,2035))</f>
        <v>22700</v>
      </c>
      <c r="AF987" s="97">
        <f>_xlfn.FORECAST.LINEAR(AF$2,CHOOSE({1;2},22700,24400),CHOOSE({1;2},2024,2035))</f>
        <v>22854.545454545412</v>
      </c>
      <c r="AG987" s="97">
        <f>_xlfn.FORECAST.LINEAR(AG$2,CHOOSE({1;2},22700,24400),CHOOSE({1;2},2024,2035))</f>
        <v>23009.090909090883</v>
      </c>
      <c r="AH987" s="97">
        <f>_xlfn.FORECAST.LINEAR(AH$2,CHOOSE({1;2},22700,24400),CHOOSE({1;2},2024,2035))</f>
        <v>23163.636363636353</v>
      </c>
      <c r="AI987" s="97">
        <f>_xlfn.FORECAST.LINEAR(AI$2,CHOOSE({1;2},22700,24400),CHOOSE({1;2},2024,2035))</f>
        <v>23318.181818181765</v>
      </c>
      <c r="AJ987" s="97">
        <f>_xlfn.FORECAST.LINEAR(AJ$2,CHOOSE({1;2},22700,24400),CHOOSE({1;2},2024,2035))</f>
        <v>23472.727272727236</v>
      </c>
      <c r="AK987" s="97">
        <f>_xlfn.FORECAST.LINEAR(AK$2,CHOOSE({1;2},22700,24400),CHOOSE({1;2},2024,2035))</f>
        <v>23627.272727272706</v>
      </c>
    </row>
    <row r="988" spans="2:37" s="9" customFormat="1" x14ac:dyDescent="0.25">
      <c r="B988" s="66"/>
      <c r="C988" s="51"/>
      <c r="D988" s="9" t="s">
        <v>1140</v>
      </c>
      <c r="H988" s="9" t="s">
        <v>1136</v>
      </c>
      <c r="I988" s="97" t="e">
        <f>AVERAGE(Datasheet!I1068:I1071)</f>
        <v>#DIV/0!</v>
      </c>
      <c r="J988" s="97" t="e">
        <f>AVERAGE(Datasheet!J1068:J1071)</f>
        <v>#DIV/0!</v>
      </c>
      <c r="K988" s="97" t="e">
        <f>AVERAGE(Datasheet!K1068:K1071)</f>
        <v>#DIV/0!</v>
      </c>
      <c r="L988" s="97" t="e">
        <f>AVERAGE(Datasheet!L1068:L1071)</f>
        <v>#DIV/0!</v>
      </c>
      <c r="M988" s="97" t="e">
        <f>AVERAGE(Datasheet!M1068:M1071)</f>
        <v>#DIV/0!</v>
      </c>
      <c r="N988" s="97" t="e">
        <f>AVERAGE(Datasheet!N1068:N1071)</f>
        <v>#DIV/0!</v>
      </c>
      <c r="O988" s="97" t="e">
        <f>AVERAGE(Datasheet!O1068:O1071)</f>
        <v>#DIV/0!</v>
      </c>
      <c r="P988" s="97">
        <f>AVERAGE(Datasheet!P1068:P1071)</f>
        <v>20377.75</v>
      </c>
      <c r="Q988" s="97">
        <f>AVERAGE(Datasheet!Q1068:Q1071)</f>
        <v>20220.25</v>
      </c>
      <c r="R988" s="97">
        <f>AVERAGE(Datasheet!R1068:R1071)</f>
        <v>19752.75</v>
      </c>
      <c r="S988" s="97">
        <f>AVERAGE(Datasheet!S1068:S1071)</f>
        <v>20511.75</v>
      </c>
      <c r="T988" s="97">
        <f>AVERAGE(Datasheet!T1068:T1071)</f>
        <v>20922.5</v>
      </c>
      <c r="U988" s="97">
        <f>AVERAGE(Datasheet!U1068:U1071)</f>
        <v>21379.25</v>
      </c>
      <c r="V988" s="97">
        <f>AVERAGE(Datasheet!V1068:V1071)</f>
        <v>22202.25</v>
      </c>
      <c r="W988" s="97">
        <f>AVERAGE(Datasheet!W1068:W1071)</f>
        <v>23337</v>
      </c>
      <c r="X988" s="97">
        <f>AVERAGE(Datasheet!X1068:X1071)</f>
        <v>21767.5</v>
      </c>
      <c r="Y988" s="97">
        <f>AVERAGE(Datasheet!Y1068:Y1071)</f>
        <v>22745</v>
      </c>
      <c r="Z988" s="97">
        <f>AVERAGE(Datasheet!Z1068:Z1071)</f>
        <v>23378.25</v>
      </c>
      <c r="AA988" s="97">
        <f>AVERAGE(Datasheet!AA1068:AA1071)</f>
        <v>22217.75</v>
      </c>
      <c r="AB988" s="97" t="e">
        <f>AVERAGE(Datasheet!AB1068:AB1071)</f>
        <v>#DIV/0!</v>
      </c>
      <c r="AC988" s="97" t="e">
        <f>AVERAGE(Datasheet!AC1068:AC1071)</f>
        <v>#DIV/0!</v>
      </c>
      <c r="AD988" s="97" t="e">
        <f>AVERAGE(Datasheet!AD1068:AD1071)</f>
        <v>#DIV/0!</v>
      </c>
      <c r="AE988" s="97" t="e">
        <f>AVERAGE(Datasheet!AE1068:AE1071)</f>
        <v>#DIV/0!</v>
      </c>
      <c r="AF988" s="97" t="e">
        <f>AVERAGE(Datasheet!AF1068:AF1071)</f>
        <v>#DIV/0!</v>
      </c>
      <c r="AG988" s="97" t="e">
        <f>AVERAGE(Datasheet!AG1068:AG1071)</f>
        <v>#DIV/0!</v>
      </c>
      <c r="AH988" s="97" t="e">
        <f>AVERAGE(Datasheet!AH1068:AH1071)</f>
        <v>#DIV/0!</v>
      </c>
      <c r="AI988" s="97" t="e">
        <f>AVERAGE(Datasheet!AI1068:AI1071)</f>
        <v>#DIV/0!</v>
      </c>
      <c r="AJ988" s="97" t="e">
        <f>AVERAGE(Datasheet!AJ1068:AJ1071)</f>
        <v>#DIV/0!</v>
      </c>
      <c r="AK988" s="97" t="e">
        <f>AVERAGE(Datasheet!AK1068:AK1071)</f>
        <v>#DIV/0!</v>
      </c>
    </row>
    <row r="989" spans="2:37" s="9" customFormat="1" x14ac:dyDescent="0.25">
      <c r="B989" s="66"/>
      <c r="C989" s="51"/>
      <c r="I989" s="97"/>
      <c r="J989" s="97"/>
      <c r="K989" s="97"/>
      <c r="L989" s="97"/>
      <c r="M989" s="97"/>
      <c r="N989" s="97"/>
      <c r="O989" s="97"/>
      <c r="P989" s="97"/>
      <c r="Q989" s="97"/>
      <c r="R989" s="97"/>
      <c r="S989" s="97"/>
      <c r="T989" s="97"/>
      <c r="U989" s="97"/>
      <c r="V989" s="97"/>
      <c r="W989" s="97"/>
      <c r="X989" s="97"/>
      <c r="Y989" s="97"/>
      <c r="Z989" s="97"/>
      <c r="AA989" s="97"/>
      <c r="AB989" s="97"/>
      <c r="AC989" s="97"/>
      <c r="AD989" s="97"/>
      <c r="AE989" s="97"/>
      <c r="AF989" s="97"/>
      <c r="AG989" s="97"/>
      <c r="AH989" s="97"/>
      <c r="AI989" s="97"/>
      <c r="AJ989" s="97"/>
      <c r="AK989" s="97"/>
    </row>
    <row r="990" spans="2:37" s="9" customFormat="1" x14ac:dyDescent="0.25">
      <c r="B990" s="66"/>
      <c r="C990" s="51"/>
      <c r="I990" s="97"/>
      <c r="J990" s="97"/>
      <c r="K990" s="97"/>
      <c r="L990" s="97"/>
      <c r="M990" s="97"/>
      <c r="N990" s="97"/>
      <c r="O990" s="97"/>
      <c r="P990" s="97"/>
      <c r="Q990" s="97"/>
      <c r="R990" s="97"/>
      <c r="S990" s="97"/>
      <c r="T990" s="97"/>
      <c r="U990" s="97"/>
      <c r="V990" s="97"/>
      <c r="W990" s="97"/>
      <c r="X990" s="97"/>
      <c r="Y990" s="97"/>
      <c r="Z990" s="97"/>
      <c r="AA990" s="97"/>
      <c r="AB990" s="97"/>
      <c r="AC990" s="97"/>
      <c r="AD990" s="97"/>
      <c r="AE990" s="97"/>
      <c r="AF990" s="97"/>
      <c r="AG990" s="97"/>
      <c r="AH990" s="97"/>
      <c r="AI990" s="97"/>
      <c r="AJ990" s="97"/>
      <c r="AK990" s="97"/>
    </row>
    <row r="991" spans="2:37" s="9" customFormat="1" x14ac:dyDescent="0.25">
      <c r="B991" s="66"/>
      <c r="C991" s="51"/>
      <c r="I991" s="97"/>
      <c r="J991" s="97"/>
      <c r="K991" s="97"/>
      <c r="L991" s="97"/>
      <c r="M991" s="97"/>
      <c r="N991" s="97"/>
      <c r="O991" s="97"/>
      <c r="P991" s="97"/>
      <c r="Q991" s="97"/>
      <c r="R991" s="97"/>
      <c r="S991" s="97"/>
      <c r="T991" s="97"/>
      <c r="U991" s="97"/>
      <c r="V991" s="97"/>
      <c r="W991" s="97"/>
      <c r="X991" s="97"/>
      <c r="Y991" s="97"/>
      <c r="Z991" s="97"/>
      <c r="AA991" s="97"/>
      <c r="AB991" s="97"/>
      <c r="AC991" s="97"/>
      <c r="AD991" s="97"/>
      <c r="AE991" s="97"/>
      <c r="AF991" s="97"/>
      <c r="AG991" s="97"/>
      <c r="AH991" s="97"/>
      <c r="AI991" s="97"/>
      <c r="AJ991" s="97"/>
      <c r="AK991" s="97"/>
    </row>
    <row r="992" spans="2:37" s="9" customFormat="1" x14ac:dyDescent="0.25">
      <c r="B992" s="66"/>
      <c r="C992" s="51"/>
      <c r="I992" s="97"/>
      <c r="J992" s="97"/>
      <c r="K992" s="97"/>
      <c r="L992" s="97"/>
      <c r="M992" s="97"/>
      <c r="N992" s="97"/>
      <c r="O992" s="97"/>
      <c r="P992" s="97"/>
      <c r="Q992" s="97"/>
      <c r="R992" s="97"/>
      <c r="S992" s="97"/>
      <c r="T992" s="97"/>
      <c r="U992" s="97"/>
      <c r="V992" s="97"/>
      <c r="W992" s="97"/>
      <c r="X992" s="97"/>
      <c r="Y992" s="97"/>
      <c r="Z992" s="97"/>
      <c r="AA992" s="97"/>
      <c r="AB992" s="97"/>
      <c r="AC992" s="97"/>
      <c r="AD992" s="97"/>
      <c r="AE992" s="97"/>
      <c r="AF992" s="97"/>
      <c r="AG992" s="97"/>
      <c r="AH992" s="97"/>
      <c r="AI992" s="97"/>
      <c r="AJ992" s="97"/>
      <c r="AK992" s="97"/>
    </row>
    <row r="993" spans="2:37" s="9" customFormat="1" x14ac:dyDescent="0.25">
      <c r="B993" s="66"/>
      <c r="C993" s="51"/>
      <c r="I993" s="97"/>
      <c r="J993" s="97"/>
      <c r="K993" s="97"/>
      <c r="L993" s="97"/>
      <c r="M993" s="97"/>
      <c r="N993" s="97"/>
      <c r="O993" s="97"/>
      <c r="P993" s="97"/>
      <c r="Q993" s="97"/>
      <c r="R993" s="97"/>
      <c r="S993" s="97"/>
      <c r="T993" s="97"/>
      <c r="U993" s="97"/>
      <c r="V993" s="97"/>
      <c r="W993" s="97"/>
      <c r="X993" s="97"/>
      <c r="Y993" s="97"/>
      <c r="Z993" s="97"/>
      <c r="AA993" s="97"/>
      <c r="AB993" s="97"/>
      <c r="AC993" s="97"/>
      <c r="AD993" s="97"/>
      <c r="AE993" s="97"/>
      <c r="AF993" s="97"/>
      <c r="AG993" s="97"/>
      <c r="AH993" s="97"/>
      <c r="AI993" s="97"/>
      <c r="AJ993" s="97"/>
      <c r="AK993" s="97"/>
    </row>
    <row r="994" spans="2:37" s="9" customFormat="1" x14ac:dyDescent="0.25">
      <c r="B994" s="66"/>
      <c r="C994" s="51"/>
      <c r="I994" s="97"/>
      <c r="J994" s="97"/>
      <c r="K994" s="97"/>
      <c r="L994" s="97"/>
      <c r="M994" s="97"/>
      <c r="N994" s="97"/>
      <c r="O994" s="97"/>
      <c r="P994" s="97"/>
      <c r="Q994" s="97"/>
      <c r="R994" s="97"/>
      <c r="S994" s="97"/>
      <c r="T994" s="97"/>
      <c r="U994" s="97"/>
      <c r="V994" s="97"/>
      <c r="W994" s="97"/>
      <c r="X994" s="97"/>
      <c r="Y994" s="97"/>
      <c r="Z994" s="97"/>
      <c r="AA994" s="97"/>
      <c r="AB994" s="97"/>
      <c r="AC994" s="97"/>
      <c r="AD994" s="97"/>
      <c r="AE994" s="97"/>
      <c r="AF994" s="97"/>
      <c r="AG994" s="97"/>
      <c r="AH994" s="97"/>
      <c r="AI994" s="97"/>
      <c r="AJ994" s="97"/>
      <c r="AK994" s="97"/>
    </row>
    <row r="995" spans="2:37" s="9" customFormat="1" x14ac:dyDescent="0.25">
      <c r="B995" s="66"/>
      <c r="C995" s="51"/>
      <c r="I995" s="97"/>
      <c r="J995" s="97"/>
      <c r="K995" s="97"/>
      <c r="L995" s="97"/>
      <c r="M995" s="97"/>
      <c r="N995" s="97"/>
      <c r="O995" s="97"/>
      <c r="P995" s="97"/>
      <c r="Q995" s="97"/>
      <c r="R995" s="97"/>
      <c r="S995" s="97"/>
      <c r="T995" s="97"/>
      <c r="U995" s="97"/>
      <c r="V995" s="97"/>
      <c r="W995" s="97"/>
      <c r="X995" s="97"/>
      <c r="Y995" s="97"/>
      <c r="Z995" s="97"/>
      <c r="AA995" s="97"/>
      <c r="AB995" s="97"/>
      <c r="AC995" s="97"/>
      <c r="AD995" s="97"/>
      <c r="AE995" s="97"/>
      <c r="AF995" s="97"/>
      <c r="AG995" s="97"/>
      <c r="AH995" s="97"/>
      <c r="AI995" s="97"/>
      <c r="AJ995" s="97"/>
      <c r="AK995" s="97"/>
    </row>
    <row r="996" spans="2:37" s="9" customFormat="1" x14ac:dyDescent="0.25">
      <c r="B996" s="66"/>
      <c r="C996" s="51"/>
      <c r="I996" s="97"/>
      <c r="J996" s="97"/>
      <c r="K996" s="97"/>
      <c r="L996" s="97"/>
      <c r="M996" s="97"/>
      <c r="N996" s="97"/>
      <c r="O996" s="97"/>
      <c r="P996" s="97"/>
      <c r="Q996" s="97"/>
      <c r="R996" s="97"/>
      <c r="S996" s="97"/>
      <c r="T996" s="97"/>
      <c r="U996" s="97"/>
      <c r="V996" s="97"/>
      <c r="W996" s="97"/>
      <c r="X996" s="97"/>
      <c r="Y996" s="97"/>
      <c r="Z996" s="97"/>
      <c r="AA996" s="97"/>
      <c r="AB996" s="97"/>
      <c r="AC996" s="97"/>
      <c r="AD996" s="97"/>
      <c r="AE996" s="97"/>
      <c r="AF996" s="97"/>
      <c r="AG996" s="97"/>
      <c r="AH996" s="97"/>
      <c r="AI996" s="97"/>
      <c r="AJ996" s="97"/>
      <c r="AK996" s="97"/>
    </row>
    <row r="997" spans="2:37" s="9" customFormat="1" x14ac:dyDescent="0.25">
      <c r="B997" s="66"/>
      <c r="C997" s="51"/>
      <c r="I997" s="97"/>
      <c r="J997" s="97"/>
      <c r="K997" s="97"/>
      <c r="L997" s="97"/>
      <c r="M997" s="97"/>
      <c r="N997" s="97"/>
      <c r="O997" s="97"/>
      <c r="P997" s="97"/>
      <c r="Q997" s="97"/>
      <c r="R997" s="97"/>
      <c r="S997" s="97"/>
      <c r="T997" s="97"/>
      <c r="U997" s="97"/>
      <c r="V997" s="97"/>
      <c r="W997" s="97"/>
      <c r="X997" s="97"/>
      <c r="Y997" s="97"/>
      <c r="Z997" s="97"/>
      <c r="AA997" s="97"/>
      <c r="AB997" s="97"/>
      <c r="AC997" s="97"/>
      <c r="AD997" s="97"/>
      <c r="AE997" s="97"/>
      <c r="AF997" s="97"/>
      <c r="AG997" s="97"/>
      <c r="AH997" s="97"/>
      <c r="AI997" s="97"/>
      <c r="AJ997" s="97"/>
      <c r="AK997" s="97"/>
    </row>
    <row r="998" spans="2:37" s="9" customFormat="1" x14ac:dyDescent="0.25">
      <c r="B998" s="66"/>
      <c r="C998" s="51"/>
      <c r="I998" s="97"/>
      <c r="J998" s="97"/>
      <c r="K998" s="97"/>
      <c r="L998" s="97"/>
      <c r="M998" s="97"/>
      <c r="N998" s="97"/>
      <c r="O998" s="97"/>
      <c r="P998" s="97"/>
      <c r="Q998" s="97"/>
      <c r="R998" s="97"/>
      <c r="S998" s="97"/>
      <c r="T998" s="97"/>
      <c r="U998" s="97"/>
      <c r="V998" s="97"/>
      <c r="W998" s="97"/>
      <c r="X998" s="97"/>
      <c r="Y998" s="97"/>
      <c r="Z998" s="97"/>
      <c r="AA998" s="97"/>
      <c r="AB998" s="97"/>
      <c r="AC998" s="97"/>
      <c r="AD998" s="97"/>
      <c r="AE998" s="97"/>
      <c r="AF998" s="97"/>
      <c r="AG998" s="97"/>
      <c r="AH998" s="97"/>
      <c r="AI998" s="97"/>
      <c r="AJ998" s="97"/>
      <c r="AK998" s="97"/>
    </row>
    <row r="999" spans="2:37" s="9" customFormat="1" x14ac:dyDescent="0.25">
      <c r="B999" s="66"/>
      <c r="C999" s="51"/>
      <c r="I999" s="97"/>
      <c r="J999" s="97"/>
      <c r="K999" s="97"/>
      <c r="L999" s="97"/>
      <c r="M999" s="97"/>
      <c r="N999" s="97"/>
      <c r="O999" s="97"/>
      <c r="P999" s="97"/>
      <c r="Q999" s="97"/>
      <c r="R999" s="97"/>
      <c r="S999" s="97"/>
      <c r="T999" s="97"/>
      <c r="U999" s="97"/>
      <c r="V999" s="97"/>
      <c r="W999" s="97"/>
      <c r="X999" s="97"/>
      <c r="Y999" s="97"/>
      <c r="Z999" s="97"/>
      <c r="AA999" s="97"/>
      <c r="AB999" s="97"/>
      <c r="AC999" s="97"/>
      <c r="AD999" s="97"/>
      <c r="AE999" s="97"/>
      <c r="AF999" s="97"/>
      <c r="AG999" s="97"/>
      <c r="AH999" s="97"/>
      <c r="AI999" s="97"/>
      <c r="AJ999" s="97"/>
      <c r="AK999" s="97"/>
    </row>
    <row r="1000" spans="2:37" s="9" customFormat="1" x14ac:dyDescent="0.25">
      <c r="B1000" s="66"/>
      <c r="C1000" s="51"/>
      <c r="I1000" s="97"/>
      <c r="J1000" s="97"/>
      <c r="K1000" s="97"/>
      <c r="L1000" s="97"/>
      <c r="M1000" s="97"/>
      <c r="N1000" s="97"/>
      <c r="O1000" s="97"/>
      <c r="P1000" s="97"/>
      <c r="Q1000" s="97"/>
      <c r="R1000" s="97"/>
      <c r="S1000" s="97"/>
      <c r="T1000" s="97"/>
      <c r="U1000" s="97"/>
      <c r="V1000" s="97"/>
      <c r="W1000" s="97"/>
      <c r="X1000" s="97"/>
      <c r="Y1000" s="97"/>
      <c r="Z1000" s="97"/>
      <c r="AA1000" s="97"/>
      <c r="AB1000" s="97"/>
      <c r="AC1000" s="97"/>
      <c r="AD1000" s="97"/>
      <c r="AE1000" s="97"/>
      <c r="AF1000" s="97"/>
      <c r="AG1000" s="97"/>
      <c r="AH1000" s="97"/>
      <c r="AI1000" s="97"/>
      <c r="AJ1000" s="97"/>
      <c r="AK1000" s="97"/>
    </row>
    <row r="1001" spans="2:37" s="9" customFormat="1" x14ac:dyDescent="0.25">
      <c r="B1001" s="66"/>
      <c r="C1001" s="51"/>
      <c r="I1001" s="97"/>
      <c r="J1001" s="97"/>
      <c r="K1001" s="97"/>
      <c r="L1001" s="97"/>
      <c r="M1001" s="97"/>
      <c r="N1001" s="97"/>
      <c r="O1001" s="97"/>
      <c r="P1001" s="97"/>
      <c r="Q1001" s="97"/>
      <c r="R1001" s="97"/>
      <c r="S1001" s="97"/>
      <c r="T1001" s="97"/>
      <c r="U1001" s="97"/>
      <c r="V1001" s="97"/>
      <c r="W1001" s="97"/>
      <c r="X1001" s="97"/>
      <c r="Y1001" s="97"/>
      <c r="Z1001" s="97"/>
      <c r="AA1001" s="97"/>
      <c r="AB1001" s="97"/>
      <c r="AC1001" s="97"/>
      <c r="AD1001" s="97"/>
      <c r="AE1001" s="97"/>
      <c r="AF1001" s="97"/>
      <c r="AG1001" s="97"/>
      <c r="AH1001" s="97"/>
      <c r="AI1001" s="97"/>
      <c r="AJ1001" s="97"/>
      <c r="AK1001" s="97"/>
    </row>
    <row r="1002" spans="2:37" s="9" customFormat="1" x14ac:dyDescent="0.25">
      <c r="B1002" s="66"/>
      <c r="C1002" s="51"/>
      <c r="I1002" s="97"/>
      <c r="J1002" s="97"/>
      <c r="K1002" s="97"/>
      <c r="L1002" s="97"/>
      <c r="M1002" s="97"/>
      <c r="N1002" s="97"/>
      <c r="O1002" s="97"/>
      <c r="P1002" s="97"/>
      <c r="Q1002" s="97"/>
      <c r="R1002" s="97"/>
      <c r="S1002" s="97"/>
      <c r="T1002" s="97"/>
      <c r="U1002" s="97"/>
      <c r="V1002" s="97"/>
      <c r="W1002" s="97"/>
      <c r="X1002" s="97"/>
      <c r="Y1002" s="97"/>
      <c r="Z1002" s="97"/>
      <c r="AA1002" s="97"/>
      <c r="AB1002" s="97"/>
      <c r="AC1002" s="97"/>
      <c r="AD1002" s="97"/>
      <c r="AE1002" s="97"/>
      <c r="AF1002" s="97"/>
      <c r="AG1002" s="97"/>
      <c r="AH1002" s="97"/>
      <c r="AI1002" s="97"/>
      <c r="AJ1002" s="97"/>
      <c r="AK1002" s="97"/>
    </row>
    <row r="1003" spans="2:37" s="9" customFormat="1" x14ac:dyDescent="0.25">
      <c r="B1003" s="66"/>
      <c r="C1003" s="51"/>
      <c r="I1003" s="97"/>
      <c r="J1003" s="97"/>
      <c r="K1003" s="97"/>
      <c r="L1003" s="97"/>
      <c r="M1003" s="97"/>
      <c r="N1003" s="97"/>
      <c r="O1003" s="97"/>
      <c r="P1003" s="97"/>
      <c r="Q1003" s="97"/>
      <c r="R1003" s="97"/>
      <c r="S1003" s="97"/>
      <c r="T1003" s="97"/>
      <c r="U1003" s="97"/>
      <c r="V1003" s="97"/>
      <c r="W1003" s="97"/>
      <c r="X1003" s="97"/>
      <c r="Y1003" s="97"/>
      <c r="Z1003" s="97"/>
      <c r="AA1003" s="97"/>
      <c r="AB1003" s="97"/>
      <c r="AC1003" s="97"/>
      <c r="AD1003" s="97"/>
      <c r="AE1003" s="97"/>
      <c r="AF1003" s="97"/>
      <c r="AG1003" s="97"/>
      <c r="AH1003" s="97"/>
      <c r="AI1003" s="97"/>
      <c r="AJ1003" s="97"/>
      <c r="AK1003" s="97"/>
    </row>
    <row r="1004" spans="2:37" s="9" customFormat="1" x14ac:dyDescent="0.25">
      <c r="B1004" s="66" t="s">
        <v>34</v>
      </c>
      <c r="C1004" s="51" t="s">
        <v>1132</v>
      </c>
      <c r="I1004" s="97"/>
      <c r="J1004" s="97"/>
      <c r="K1004" s="97"/>
      <c r="L1004" s="97"/>
      <c r="M1004" s="97"/>
      <c r="N1004" s="97"/>
      <c r="O1004" s="97"/>
      <c r="P1004" s="97"/>
      <c r="Q1004" s="97"/>
      <c r="R1004" s="97"/>
      <c r="S1004" s="97"/>
      <c r="T1004" s="97"/>
      <c r="U1004" s="97"/>
      <c r="V1004" s="97"/>
      <c r="W1004" s="97"/>
      <c r="X1004" s="97"/>
      <c r="Y1004" s="97"/>
      <c r="Z1004" s="97"/>
      <c r="AA1004" s="97"/>
      <c r="AB1004" s="97"/>
      <c r="AC1004" s="97"/>
      <c r="AD1004" s="97"/>
      <c r="AE1004" s="97"/>
      <c r="AF1004" s="97"/>
      <c r="AG1004" s="97"/>
      <c r="AH1004" s="97"/>
      <c r="AI1004" s="97"/>
      <c r="AJ1004" s="97"/>
      <c r="AK1004" s="97"/>
    </row>
    <row r="1005" spans="2:37" s="9" customFormat="1" x14ac:dyDescent="0.25">
      <c r="B1005" s="66"/>
      <c r="C1005" s="51"/>
      <c r="D1005" s="109"/>
      <c r="E1005" s="109" t="s">
        <v>1139</v>
      </c>
      <c r="I1005" s="136">
        <v>100000</v>
      </c>
      <c r="J1005" s="136">
        <v>100000</v>
      </c>
      <c r="K1005" s="136">
        <v>100000</v>
      </c>
      <c r="L1005" s="136">
        <v>100000</v>
      </c>
      <c r="M1005" s="136">
        <v>100000</v>
      </c>
      <c r="N1005" s="136">
        <v>100000</v>
      </c>
      <c r="O1005" s="136">
        <v>100000</v>
      </c>
      <c r="P1005" s="136">
        <v>100000</v>
      </c>
      <c r="Q1005" s="136">
        <v>100000</v>
      </c>
      <c r="R1005" s="136">
        <v>100000</v>
      </c>
      <c r="S1005" s="136">
        <v>100000</v>
      </c>
      <c r="T1005" s="136">
        <v>100000</v>
      </c>
      <c r="U1005" s="136">
        <v>100000</v>
      </c>
      <c r="V1005" s="136">
        <v>100000</v>
      </c>
      <c r="W1005" s="136">
        <v>100000</v>
      </c>
      <c r="X1005" s="136">
        <v>100000</v>
      </c>
      <c r="Y1005" s="136">
        <v>100000</v>
      </c>
      <c r="Z1005" s="136">
        <v>100000</v>
      </c>
      <c r="AA1005" s="136">
        <v>100000</v>
      </c>
      <c r="AB1005" s="136">
        <v>100000</v>
      </c>
      <c r="AC1005" s="136">
        <v>100000</v>
      </c>
      <c r="AD1005" s="136">
        <v>100000</v>
      </c>
      <c r="AE1005" s="136">
        <v>100000</v>
      </c>
      <c r="AF1005" s="136">
        <v>100000</v>
      </c>
      <c r="AG1005" s="136">
        <v>100000</v>
      </c>
      <c r="AH1005" s="136">
        <v>100000</v>
      </c>
      <c r="AI1005" s="136">
        <v>100000</v>
      </c>
      <c r="AJ1005" s="136">
        <v>100000</v>
      </c>
      <c r="AK1005" s="136">
        <v>100000</v>
      </c>
    </row>
    <row r="1006" spans="2:37" s="9" customFormat="1" x14ac:dyDescent="0.25">
      <c r="B1006" s="66"/>
      <c r="C1006" s="248"/>
      <c r="D1006" s="9" t="s">
        <v>1127</v>
      </c>
      <c r="H1006" s="9" t="s">
        <v>1136</v>
      </c>
      <c r="I1006" s="97">
        <v>15200</v>
      </c>
      <c r="J1006" s="97">
        <v>15200</v>
      </c>
      <c r="K1006" s="97">
        <v>15200</v>
      </c>
      <c r="L1006" s="97">
        <v>15200</v>
      </c>
      <c r="M1006" s="97">
        <v>15200</v>
      </c>
      <c r="N1006" s="97">
        <v>15200</v>
      </c>
      <c r="O1006" s="97">
        <v>15200</v>
      </c>
      <c r="P1006" s="97">
        <v>15200</v>
      </c>
      <c r="Q1006" s="97">
        <v>15200</v>
      </c>
      <c r="R1006" s="97">
        <v>15200</v>
      </c>
      <c r="S1006" s="97">
        <v>15200</v>
      </c>
      <c r="T1006" s="97">
        <v>15200</v>
      </c>
      <c r="U1006" s="97">
        <v>15200</v>
      </c>
      <c r="V1006" s="97">
        <v>15200</v>
      </c>
      <c r="W1006" s="97">
        <v>15200</v>
      </c>
      <c r="X1006" s="97">
        <v>15200</v>
      </c>
      <c r="Y1006" s="97">
        <v>15200</v>
      </c>
      <c r="Z1006" s="97">
        <v>15200</v>
      </c>
      <c r="AA1006" s="97">
        <v>15200</v>
      </c>
      <c r="AB1006" s="97">
        <v>15200</v>
      </c>
      <c r="AC1006" s="97">
        <v>15200</v>
      </c>
      <c r="AD1006" s="97">
        <v>15200</v>
      </c>
      <c r="AE1006" s="97">
        <v>15200</v>
      </c>
      <c r="AF1006" s="97">
        <v>15200</v>
      </c>
      <c r="AG1006" s="97">
        <v>15200</v>
      </c>
      <c r="AH1006" s="97">
        <v>15200</v>
      </c>
      <c r="AI1006" s="97">
        <v>15200</v>
      </c>
      <c r="AJ1006" s="97">
        <v>15200</v>
      </c>
      <c r="AK1006" s="97">
        <v>15200</v>
      </c>
    </row>
    <row r="1007" spans="2:37" s="9" customFormat="1" x14ac:dyDescent="0.25">
      <c r="B1007" s="66"/>
      <c r="C1007" s="51"/>
      <c r="D1007" s="109"/>
      <c r="E1007" s="109" t="s">
        <v>1138</v>
      </c>
      <c r="H1007" s="109"/>
      <c r="I1007" s="136">
        <f>I1006-I1008</f>
        <v>1064</v>
      </c>
      <c r="J1007" s="136">
        <f t="shared" ref="J1007:AK1007" si="160">J1006-J1008</f>
        <v>1063</v>
      </c>
      <c r="K1007" s="136">
        <f t="shared" si="160"/>
        <v>1062</v>
      </c>
      <c r="L1007" s="136">
        <f t="shared" si="160"/>
        <v>1061</v>
      </c>
      <c r="M1007" s="136">
        <f t="shared" si="160"/>
        <v>1060</v>
      </c>
      <c r="N1007" s="136">
        <f t="shared" si="160"/>
        <v>1059</v>
      </c>
      <c r="O1007" s="136">
        <f t="shared" si="160"/>
        <v>1058</v>
      </c>
      <c r="P1007" s="136">
        <f t="shared" si="160"/>
        <v>1057</v>
      </c>
      <c r="Q1007" s="136">
        <f t="shared" si="160"/>
        <v>1056</v>
      </c>
      <c r="R1007" s="136">
        <f t="shared" si="160"/>
        <v>1055</v>
      </c>
      <c r="S1007" s="136">
        <f t="shared" si="160"/>
        <v>1054</v>
      </c>
      <c r="T1007" s="136">
        <f t="shared" si="160"/>
        <v>1053</v>
      </c>
      <c r="U1007" s="136">
        <f t="shared" si="160"/>
        <v>1052</v>
      </c>
      <c r="V1007" s="136">
        <f t="shared" si="160"/>
        <v>1051</v>
      </c>
      <c r="W1007" s="136">
        <f t="shared" si="160"/>
        <v>1050</v>
      </c>
      <c r="X1007" s="136">
        <f t="shared" si="160"/>
        <v>1049</v>
      </c>
      <c r="Y1007" s="136">
        <f t="shared" si="160"/>
        <v>1048</v>
      </c>
      <c r="Z1007" s="136">
        <f t="shared" si="160"/>
        <v>1047</v>
      </c>
      <c r="AA1007" s="136">
        <f t="shared" si="160"/>
        <v>1046</v>
      </c>
      <c r="AB1007" s="136">
        <f t="shared" si="160"/>
        <v>1045</v>
      </c>
      <c r="AC1007" s="136">
        <f t="shared" si="160"/>
        <v>1044</v>
      </c>
      <c r="AD1007" s="136">
        <f t="shared" si="160"/>
        <v>1043</v>
      </c>
      <c r="AE1007" s="136">
        <f t="shared" si="160"/>
        <v>1042</v>
      </c>
      <c r="AF1007" s="136">
        <f t="shared" si="160"/>
        <v>1041</v>
      </c>
      <c r="AG1007" s="136">
        <f t="shared" si="160"/>
        <v>1040</v>
      </c>
      <c r="AH1007" s="136">
        <f t="shared" si="160"/>
        <v>1039</v>
      </c>
      <c r="AI1007" s="136">
        <f t="shared" si="160"/>
        <v>1038</v>
      </c>
      <c r="AJ1007" s="136">
        <f t="shared" si="160"/>
        <v>1037</v>
      </c>
      <c r="AK1007" s="136">
        <f t="shared" si="160"/>
        <v>1036</v>
      </c>
    </row>
    <row r="1008" spans="2:37" s="9" customFormat="1" x14ac:dyDescent="0.25">
      <c r="B1008" s="66"/>
      <c r="C1008" s="248"/>
      <c r="D1008" s="9" t="s">
        <v>1128</v>
      </c>
      <c r="H1008" s="9" t="s">
        <v>1136</v>
      </c>
      <c r="I1008" s="97">
        <v>14136</v>
      </c>
      <c r="J1008" s="97">
        <v>14137</v>
      </c>
      <c r="K1008" s="97">
        <v>14138</v>
      </c>
      <c r="L1008" s="97">
        <v>14139</v>
      </c>
      <c r="M1008" s="97">
        <v>14140</v>
      </c>
      <c r="N1008" s="97">
        <v>14141</v>
      </c>
      <c r="O1008" s="97">
        <v>14142</v>
      </c>
      <c r="P1008" s="97">
        <v>14143</v>
      </c>
      <c r="Q1008" s="97">
        <v>14144</v>
      </c>
      <c r="R1008" s="97">
        <v>14145</v>
      </c>
      <c r="S1008" s="97">
        <v>14146</v>
      </c>
      <c r="T1008" s="97">
        <v>14147</v>
      </c>
      <c r="U1008" s="97">
        <v>14148</v>
      </c>
      <c r="V1008" s="97">
        <v>14149</v>
      </c>
      <c r="W1008" s="97">
        <v>14150</v>
      </c>
      <c r="X1008" s="97">
        <v>14151</v>
      </c>
      <c r="Y1008" s="97">
        <v>14152</v>
      </c>
      <c r="Z1008" s="97">
        <v>14153</v>
      </c>
      <c r="AA1008" s="97">
        <v>14154</v>
      </c>
      <c r="AB1008" s="97">
        <v>14155</v>
      </c>
      <c r="AC1008" s="97">
        <v>14156</v>
      </c>
      <c r="AD1008" s="97">
        <v>14157</v>
      </c>
      <c r="AE1008" s="97">
        <v>14158</v>
      </c>
      <c r="AF1008" s="97">
        <v>14159</v>
      </c>
      <c r="AG1008" s="97">
        <v>14160</v>
      </c>
      <c r="AH1008" s="97">
        <v>14161</v>
      </c>
      <c r="AI1008" s="97">
        <v>14162</v>
      </c>
      <c r="AJ1008" s="97">
        <v>14163</v>
      </c>
      <c r="AK1008" s="97">
        <v>14164</v>
      </c>
    </row>
    <row r="1009" spans="2:37" s="9" customFormat="1" x14ac:dyDescent="0.25">
      <c r="B1009" s="66"/>
      <c r="C1009" s="248"/>
      <c r="D1009" s="9" t="s">
        <v>1129</v>
      </c>
      <c r="H1009" s="9" t="s">
        <v>1136</v>
      </c>
      <c r="I1009" s="97"/>
      <c r="J1009" s="97"/>
      <c r="K1009" s="97"/>
      <c r="L1009" s="97"/>
      <c r="M1009" s="97"/>
      <c r="N1009" s="97"/>
      <c r="O1009" s="97"/>
      <c r="P1009" s="97">
        <f>_xlfn.FORECAST.LINEAR(P$2,CHOOSE({1;2},16800,19500),CHOOSE({1;2},2024,2035))</f>
        <v>13118.181818181823</v>
      </c>
      <c r="Q1009" s="97">
        <f>_xlfn.FORECAST.LINEAR(Q$2,CHOOSE({1;2},16800,19500),CHOOSE({1;2},2024,2035))</f>
        <v>13363.636363636411</v>
      </c>
      <c r="R1009" s="97">
        <f>_xlfn.FORECAST.LINEAR(R$2,CHOOSE({1;2},16800,19500),CHOOSE({1;2},2024,2035))</f>
        <v>13609.090909090941</v>
      </c>
      <c r="S1009" s="97">
        <f>_xlfn.FORECAST.LINEAR(S$2,CHOOSE({1;2},16800,19500),CHOOSE({1;2},2024,2035))</f>
        <v>13854.54545454547</v>
      </c>
      <c r="T1009" s="97">
        <f>_xlfn.FORECAST.LINEAR(T$2,CHOOSE({1;2},16800,19500),CHOOSE({1;2},2024,2035))</f>
        <v>14100</v>
      </c>
      <c r="U1009" s="97">
        <f>_xlfn.FORECAST.LINEAR(U$2,CHOOSE({1;2},16800,19500),CHOOSE({1;2},2024,2035))</f>
        <v>14345.454545454588</v>
      </c>
      <c r="V1009" s="97">
        <f>_xlfn.FORECAST.LINEAR(V$2,CHOOSE({1;2},16800,19500),CHOOSE({1;2},2024,2035))</f>
        <v>14590.909090909117</v>
      </c>
      <c r="W1009" s="97">
        <f>_xlfn.FORECAST.LINEAR(W$2,CHOOSE({1;2},16800,19500),CHOOSE({1;2},2024,2035))</f>
        <v>14836.363636363647</v>
      </c>
      <c r="X1009" s="97">
        <f>_xlfn.FORECAST.LINEAR(X$2,CHOOSE({1;2},16800,19500),CHOOSE({1;2},2024,2035))</f>
        <v>15081.818181818235</v>
      </c>
      <c r="Y1009" s="97">
        <f>_xlfn.FORECAST.LINEAR(Y$2,CHOOSE({1;2},16800,19500),CHOOSE({1;2},2024,2035))</f>
        <v>15327.272727272764</v>
      </c>
      <c r="Z1009" s="97">
        <f>_xlfn.FORECAST.LINEAR(Z$2,CHOOSE({1;2},16800,19500),CHOOSE({1;2},2024,2035))</f>
        <v>15572.727272727294</v>
      </c>
      <c r="AA1009" s="97">
        <f>_xlfn.FORECAST.LINEAR(AA$2,CHOOSE({1;2},16800,19500),CHOOSE({1;2},2024,2035))</f>
        <v>15818.181818181823</v>
      </c>
      <c r="AB1009" s="97">
        <f>_xlfn.FORECAST.LINEAR(AB$2,CHOOSE({1;2},16800,19500),CHOOSE({1;2},2024,2035))</f>
        <v>16063.636363636411</v>
      </c>
      <c r="AC1009" s="97">
        <f>_xlfn.FORECAST.LINEAR(AC$2,CHOOSE({1;2},16800,19500),CHOOSE({1;2},2024,2035))</f>
        <v>16309.090909090941</v>
      </c>
      <c r="AD1009" s="97">
        <f>_xlfn.FORECAST.LINEAR(AD$2,CHOOSE({1;2},16800,19500),CHOOSE({1;2},2024,2035))</f>
        <v>16554.54545454547</v>
      </c>
      <c r="AE1009" s="97">
        <f>_xlfn.FORECAST.LINEAR(AE$2,CHOOSE({1;2},16800,19500),CHOOSE({1;2},2024,2035))</f>
        <v>16800</v>
      </c>
      <c r="AF1009" s="97">
        <f>_xlfn.FORECAST.LINEAR(AF$2,CHOOSE({1;2},16800,19500),CHOOSE({1;2},2024,2035))</f>
        <v>17045.454545454588</v>
      </c>
      <c r="AG1009" s="97">
        <f>_xlfn.FORECAST.LINEAR(AG$2,CHOOSE({1;2},16800,19500),CHOOSE({1;2},2024,2035))</f>
        <v>17290.909090909117</v>
      </c>
      <c r="AH1009" s="97">
        <f>_xlfn.FORECAST.LINEAR(AH$2,CHOOSE({1;2},16800,19500),CHOOSE({1;2},2024,2035))</f>
        <v>17536.363636363647</v>
      </c>
      <c r="AI1009" s="97">
        <f>_xlfn.FORECAST.LINEAR(AI$2,CHOOSE({1;2},16800,19500),CHOOSE({1;2},2024,2035))</f>
        <v>17781.818181818235</v>
      </c>
      <c r="AJ1009" s="97">
        <f>_xlfn.FORECAST.LINEAR(AJ$2,CHOOSE({1;2},16800,19500),CHOOSE({1;2},2024,2035))</f>
        <v>18027.272727272764</v>
      </c>
      <c r="AK1009" s="97">
        <f>_xlfn.FORECAST.LINEAR(AK$2,CHOOSE({1;2},16800,19500),CHOOSE({1;2},2024,2035))</f>
        <v>18272.727272727294</v>
      </c>
    </row>
    <row r="1010" spans="2:37" s="9" customFormat="1" x14ac:dyDescent="0.25">
      <c r="B1010" s="66"/>
      <c r="C1010" s="248"/>
      <c r="D1010" s="9" t="s">
        <v>1137</v>
      </c>
      <c r="H1010" s="9" t="s">
        <v>1136</v>
      </c>
      <c r="I1010" s="97"/>
      <c r="J1010" s="97"/>
      <c r="K1010" s="97"/>
      <c r="L1010" s="97"/>
      <c r="M1010" s="97"/>
      <c r="N1010" s="97"/>
      <c r="O1010" s="97"/>
      <c r="P1010" s="97"/>
      <c r="Q1010" s="97"/>
      <c r="R1010" s="97"/>
      <c r="S1010" s="97"/>
      <c r="T1010" s="97"/>
      <c r="U1010" s="97"/>
      <c r="V1010" s="97"/>
      <c r="W1010" s="97">
        <f>_xlfn.FORECAST.LINEAR(W$2,CHOOSE({1;2},15900,17300),CHOOSE({1;2},2024,2035))</f>
        <v>14881.818181818177</v>
      </c>
      <c r="X1010" s="97">
        <f>_xlfn.FORECAST.LINEAR(X$2,CHOOSE({1;2},15900,17300),CHOOSE({1;2},2024,2035))</f>
        <v>15009.090909090883</v>
      </c>
      <c r="Y1010" s="97">
        <f>_xlfn.FORECAST.LINEAR(Y$2,CHOOSE({1;2},15900,17300),CHOOSE({1;2},2024,2035))</f>
        <v>15136.363636363618</v>
      </c>
      <c r="Z1010" s="97">
        <f>_xlfn.FORECAST.LINEAR(Z$2,CHOOSE({1;2},15900,17300),CHOOSE({1;2},2024,2035))</f>
        <v>15263.636363636353</v>
      </c>
      <c r="AA1010" s="97">
        <f>_xlfn.FORECAST.LINEAR(AA$2,CHOOSE({1;2},15900,17300),CHOOSE({1;2},2024,2035))</f>
        <v>15390.909090909088</v>
      </c>
      <c r="AB1010" s="97">
        <f>_xlfn.FORECAST.LINEAR(AB$2,CHOOSE({1;2},15900,17300),CHOOSE({1;2},2024,2035))</f>
        <v>15518.181818181794</v>
      </c>
      <c r="AC1010" s="97">
        <f>_xlfn.FORECAST.LINEAR(AC$2,CHOOSE({1;2},15900,17300),CHOOSE({1;2},2024,2035))</f>
        <v>15645.45454545453</v>
      </c>
      <c r="AD1010" s="97">
        <f>_xlfn.FORECAST.LINEAR(AD$2,CHOOSE({1;2},15900,17300),CHOOSE({1;2},2024,2035))</f>
        <v>15772.727272727265</v>
      </c>
      <c r="AE1010" s="97">
        <f>_xlfn.FORECAST.LINEAR(AE$2,CHOOSE({1;2},15900,17300),CHOOSE({1;2},2024,2035))</f>
        <v>15900</v>
      </c>
      <c r="AF1010" s="97">
        <f>_xlfn.FORECAST.LINEAR(AF$2,CHOOSE({1;2},15900,17300),CHOOSE({1;2},2024,2035))</f>
        <v>16027.272727272706</v>
      </c>
      <c r="AG1010" s="97">
        <f>_xlfn.FORECAST.LINEAR(AG$2,CHOOSE({1;2},15900,17300),CHOOSE({1;2},2024,2035))</f>
        <v>16154.545454545441</v>
      </c>
      <c r="AH1010" s="97">
        <f>_xlfn.FORECAST.LINEAR(AH$2,CHOOSE({1;2},15900,17300),CHOOSE({1;2},2024,2035))</f>
        <v>16281.818181818177</v>
      </c>
      <c r="AI1010" s="97">
        <f>_xlfn.FORECAST.LINEAR(AI$2,CHOOSE({1;2},15900,17300),CHOOSE({1;2},2024,2035))</f>
        <v>16409.090909090883</v>
      </c>
      <c r="AJ1010" s="97">
        <f>_xlfn.FORECAST.LINEAR(AJ$2,CHOOSE({1;2},15900,17300),CHOOSE({1;2},2024,2035))</f>
        <v>16536.363636363618</v>
      </c>
      <c r="AK1010" s="97">
        <f>_xlfn.FORECAST.LINEAR(AK$2,CHOOSE({1;2},15900,17300),CHOOSE({1;2},2024,2035))</f>
        <v>16663.636363636353</v>
      </c>
    </row>
    <row r="1011" spans="2:37" s="9" customFormat="1" x14ac:dyDescent="0.25">
      <c r="B1011" s="66"/>
      <c r="C1011" s="51"/>
      <c r="D1011" s="9" t="s">
        <v>1140</v>
      </c>
      <c r="H1011" s="9" t="s">
        <v>1136</v>
      </c>
      <c r="I1011" s="97" t="e">
        <f>AVERAGE(Datasheet!I1081:I1084)</f>
        <v>#DIV/0!</v>
      </c>
      <c r="J1011" s="97" t="e">
        <f>AVERAGE(Datasheet!J1081:J1084)</f>
        <v>#DIV/0!</v>
      </c>
      <c r="K1011" s="97" t="e">
        <f>AVERAGE(Datasheet!K1081:K1084)</f>
        <v>#DIV/0!</v>
      </c>
      <c r="L1011" s="97" t="e">
        <f>AVERAGE(Datasheet!L1081:L1084)</f>
        <v>#DIV/0!</v>
      </c>
      <c r="M1011" s="97" t="e">
        <f>AVERAGE(Datasheet!M1081:M1084)</f>
        <v>#DIV/0!</v>
      </c>
      <c r="N1011" s="97" t="e">
        <f>AVERAGE(Datasheet!N1081:N1084)</f>
        <v>#DIV/0!</v>
      </c>
      <c r="O1011" s="97" t="e">
        <f>AVERAGE(Datasheet!O1081:O1084)</f>
        <v>#DIV/0!</v>
      </c>
      <c r="P1011" s="97">
        <f>AVERAGE(Datasheet!P1081:P1084)</f>
        <v>13429.300000000017</v>
      </c>
      <c r="Q1011" s="97">
        <f>AVERAGE(Datasheet!Q1081:Q1084)</f>
        <v>13778</v>
      </c>
      <c r="R1011" s="97">
        <f>AVERAGE(Datasheet!R1081:R1084)</f>
        <v>13591</v>
      </c>
      <c r="S1011" s="97">
        <f>AVERAGE(Datasheet!S1081:S1084)</f>
        <v>14059</v>
      </c>
      <c r="T1011" s="97">
        <f>AVERAGE(Datasheet!T1081:T1084)</f>
        <v>14097.5</v>
      </c>
      <c r="U1011" s="97">
        <f>AVERAGE(Datasheet!U1081:U1084)</f>
        <v>14575</v>
      </c>
      <c r="V1011" s="97">
        <f>AVERAGE(Datasheet!V1081:V1084)</f>
        <v>15202.75</v>
      </c>
      <c r="W1011" s="97">
        <f>AVERAGE(Datasheet!W1081:W1084)</f>
        <v>15152</v>
      </c>
      <c r="X1011" s="97">
        <f>AVERAGE(Datasheet!X1081:X1084)</f>
        <v>15379.5</v>
      </c>
      <c r="Y1011" s="97">
        <f>AVERAGE(Datasheet!Y1081:Y1084)</f>
        <v>15551.75</v>
      </c>
      <c r="Z1011" s="97">
        <f>AVERAGE(Datasheet!Z1081:Z1084)</f>
        <v>15165.75</v>
      </c>
      <c r="AA1011" s="97">
        <f>AVERAGE(Datasheet!AA1081:AA1084)</f>
        <v>14394</v>
      </c>
      <c r="AB1011" s="97" t="e">
        <f>AVERAGE(Datasheet!AB1081:AB1084)</f>
        <v>#DIV/0!</v>
      </c>
      <c r="AC1011" s="97" t="e">
        <f>AVERAGE(Datasheet!AC1081:AC1084)</f>
        <v>#DIV/0!</v>
      </c>
      <c r="AD1011" s="97" t="e">
        <f>AVERAGE(Datasheet!AD1081:AD1084)</f>
        <v>#DIV/0!</v>
      </c>
      <c r="AE1011" s="97" t="e">
        <f>AVERAGE(Datasheet!AE1081:AE1084)</f>
        <v>#DIV/0!</v>
      </c>
      <c r="AF1011" s="97" t="e">
        <f>AVERAGE(Datasheet!AF1081:AF1084)</f>
        <v>#DIV/0!</v>
      </c>
      <c r="AG1011" s="97" t="e">
        <f>AVERAGE(Datasheet!AG1081:AG1084)</f>
        <v>#DIV/0!</v>
      </c>
      <c r="AH1011" s="97" t="e">
        <f>AVERAGE(Datasheet!AH1081:AH1084)</f>
        <v>#DIV/0!</v>
      </c>
      <c r="AI1011" s="97" t="e">
        <f>AVERAGE(Datasheet!AI1081:AI1084)</f>
        <v>#DIV/0!</v>
      </c>
      <c r="AJ1011" s="97" t="e">
        <f>AVERAGE(Datasheet!AJ1081:AJ1084)</f>
        <v>#DIV/0!</v>
      </c>
      <c r="AK1011" s="97" t="e">
        <f>AVERAGE(Datasheet!AK1081:AK1084)</f>
        <v>#DIV/0!</v>
      </c>
    </row>
    <row r="1012" spans="2:37" s="9" customFormat="1" x14ac:dyDescent="0.25">
      <c r="B1012" s="66"/>
      <c r="C1012" s="51"/>
      <c r="I1012" s="97"/>
      <c r="J1012" s="97"/>
      <c r="K1012" s="97"/>
      <c r="L1012" s="97"/>
      <c r="M1012" s="97"/>
      <c r="N1012" s="97"/>
      <c r="O1012" s="97"/>
      <c r="P1012" s="97"/>
      <c r="Q1012" s="97"/>
      <c r="R1012" s="97"/>
      <c r="S1012" s="97"/>
      <c r="T1012" s="97"/>
      <c r="U1012" s="97"/>
      <c r="V1012" s="97"/>
      <c r="W1012" s="97"/>
      <c r="X1012" s="97"/>
      <c r="Y1012" s="97"/>
      <c r="Z1012" s="97"/>
      <c r="AA1012" s="97"/>
      <c r="AB1012" s="97"/>
      <c r="AC1012" s="97"/>
      <c r="AD1012" s="97"/>
      <c r="AE1012" s="97"/>
      <c r="AF1012" s="97"/>
      <c r="AG1012" s="97"/>
      <c r="AH1012" s="97"/>
      <c r="AI1012" s="97"/>
      <c r="AJ1012" s="97"/>
      <c r="AK1012" s="97"/>
    </row>
    <row r="1013" spans="2:37" s="9" customFormat="1" x14ac:dyDescent="0.25">
      <c r="B1013" s="66"/>
      <c r="C1013" s="51"/>
      <c r="I1013" s="97"/>
      <c r="J1013" s="97"/>
      <c r="K1013" s="97"/>
      <c r="L1013" s="97"/>
      <c r="M1013" s="97"/>
      <c r="N1013" s="97"/>
      <c r="O1013" s="97"/>
      <c r="P1013" s="97"/>
      <c r="Q1013" s="97"/>
      <c r="R1013" s="97"/>
      <c r="S1013" s="97"/>
      <c r="T1013" s="97"/>
      <c r="U1013" s="97"/>
      <c r="V1013" s="97"/>
      <c r="W1013" s="97"/>
      <c r="X1013" s="97"/>
      <c r="Y1013" s="97"/>
      <c r="Z1013" s="97"/>
      <c r="AA1013" s="97"/>
      <c r="AB1013" s="97"/>
      <c r="AC1013" s="97"/>
      <c r="AD1013" s="97"/>
      <c r="AE1013" s="97"/>
      <c r="AF1013" s="97"/>
      <c r="AG1013" s="97"/>
      <c r="AH1013" s="97"/>
      <c r="AI1013" s="97"/>
      <c r="AJ1013" s="97"/>
      <c r="AK1013" s="97"/>
    </row>
    <row r="1014" spans="2:37" s="9" customFormat="1" x14ac:dyDescent="0.25">
      <c r="B1014" s="66"/>
      <c r="C1014" s="51"/>
      <c r="I1014" s="97"/>
      <c r="J1014" s="97"/>
      <c r="K1014" s="97"/>
      <c r="L1014" s="97"/>
      <c r="M1014" s="97"/>
      <c r="N1014" s="97"/>
      <c r="O1014" s="97"/>
      <c r="P1014" s="97"/>
      <c r="Q1014" s="97"/>
      <c r="R1014" s="97"/>
      <c r="S1014" s="97"/>
      <c r="T1014" s="97"/>
      <c r="U1014" s="97"/>
      <c r="V1014" s="97"/>
      <c r="W1014" s="97"/>
      <c r="X1014" s="97"/>
      <c r="Y1014" s="97"/>
      <c r="Z1014" s="97"/>
      <c r="AA1014" s="97"/>
      <c r="AB1014" s="97"/>
      <c r="AC1014" s="97"/>
      <c r="AD1014" s="97"/>
      <c r="AE1014" s="97"/>
      <c r="AF1014" s="97"/>
      <c r="AG1014" s="97"/>
      <c r="AH1014" s="97"/>
      <c r="AI1014" s="97"/>
      <c r="AJ1014" s="97"/>
      <c r="AK1014" s="97"/>
    </row>
    <row r="1015" spans="2:37" s="9" customFormat="1" x14ac:dyDescent="0.25">
      <c r="B1015" s="66"/>
      <c r="C1015" s="51"/>
      <c r="I1015" s="97"/>
      <c r="J1015" s="97"/>
      <c r="K1015" s="97"/>
      <c r="L1015" s="97"/>
      <c r="M1015" s="97"/>
      <c r="N1015" s="97"/>
      <c r="O1015" s="97"/>
      <c r="P1015" s="97"/>
      <c r="Q1015" s="97"/>
      <c r="R1015" s="97"/>
      <c r="S1015" s="97"/>
      <c r="T1015" s="97"/>
      <c r="U1015" s="97"/>
      <c r="V1015" s="97"/>
      <c r="W1015" s="97"/>
      <c r="X1015" s="97"/>
      <c r="Y1015" s="97"/>
      <c r="Z1015" s="97"/>
      <c r="AA1015" s="97"/>
      <c r="AB1015" s="97"/>
      <c r="AC1015" s="97"/>
      <c r="AD1015" s="97"/>
      <c r="AE1015" s="97"/>
      <c r="AF1015" s="97"/>
      <c r="AG1015" s="97"/>
      <c r="AH1015" s="97"/>
      <c r="AI1015" s="97"/>
      <c r="AJ1015" s="97"/>
      <c r="AK1015" s="97"/>
    </row>
    <row r="1016" spans="2:37" s="9" customFormat="1" x14ac:dyDescent="0.25">
      <c r="B1016" s="66"/>
      <c r="C1016" s="51"/>
      <c r="I1016" s="97"/>
      <c r="J1016" s="97"/>
      <c r="K1016" s="97"/>
      <c r="L1016" s="97"/>
      <c r="M1016" s="97"/>
      <c r="N1016" s="97"/>
      <c r="O1016" s="97"/>
      <c r="P1016" s="97"/>
      <c r="Q1016" s="97"/>
      <c r="R1016" s="97"/>
      <c r="S1016" s="97"/>
      <c r="T1016" s="97"/>
      <c r="U1016" s="97"/>
      <c r="V1016" s="97"/>
      <c r="W1016" s="97"/>
      <c r="X1016" s="97"/>
      <c r="Y1016" s="97"/>
      <c r="Z1016" s="97"/>
      <c r="AA1016" s="97"/>
      <c r="AB1016" s="97"/>
      <c r="AC1016" s="97"/>
      <c r="AD1016" s="97"/>
      <c r="AE1016" s="97"/>
      <c r="AF1016" s="97"/>
      <c r="AG1016" s="97"/>
      <c r="AH1016" s="97"/>
      <c r="AI1016" s="97"/>
      <c r="AJ1016" s="97"/>
      <c r="AK1016" s="97"/>
    </row>
    <row r="1017" spans="2:37" s="9" customFormat="1" x14ac:dyDescent="0.25">
      <c r="B1017" s="66"/>
      <c r="C1017" s="51"/>
      <c r="I1017" s="97"/>
      <c r="J1017" s="97"/>
      <c r="K1017" s="97"/>
      <c r="L1017" s="97"/>
      <c r="M1017" s="97"/>
      <c r="N1017" s="97"/>
      <c r="O1017" s="97"/>
      <c r="P1017" s="97"/>
      <c r="Q1017" s="97"/>
      <c r="R1017" s="97"/>
      <c r="S1017" s="97"/>
      <c r="T1017" s="97"/>
      <c r="U1017" s="97"/>
      <c r="V1017" s="97"/>
      <c r="W1017" s="97"/>
      <c r="X1017" s="97"/>
      <c r="Y1017" s="97"/>
      <c r="Z1017" s="97"/>
      <c r="AA1017" s="97"/>
      <c r="AB1017" s="97"/>
      <c r="AC1017" s="97"/>
      <c r="AD1017" s="97"/>
      <c r="AE1017" s="97"/>
      <c r="AF1017" s="97"/>
      <c r="AG1017" s="97"/>
      <c r="AH1017" s="97"/>
      <c r="AI1017" s="97"/>
      <c r="AJ1017" s="97"/>
      <c r="AK1017" s="97"/>
    </row>
    <row r="1018" spans="2:37" s="9" customFormat="1" x14ac:dyDescent="0.25">
      <c r="B1018" s="66"/>
      <c r="C1018" s="51"/>
      <c r="I1018" s="97"/>
      <c r="J1018" s="97"/>
      <c r="K1018" s="97"/>
      <c r="L1018" s="97"/>
      <c r="M1018" s="97"/>
      <c r="N1018" s="97"/>
      <c r="O1018" s="97"/>
      <c r="P1018" s="97"/>
      <c r="Q1018" s="97"/>
      <c r="R1018" s="97"/>
      <c r="S1018" s="97"/>
      <c r="T1018" s="97"/>
      <c r="U1018" s="97"/>
      <c r="V1018" s="97"/>
      <c r="W1018" s="97"/>
      <c r="X1018" s="97"/>
      <c r="Y1018" s="97"/>
      <c r="Z1018" s="97"/>
      <c r="AA1018" s="97"/>
      <c r="AB1018" s="97"/>
      <c r="AC1018" s="97"/>
      <c r="AD1018" s="97"/>
      <c r="AE1018" s="97"/>
      <c r="AF1018" s="97"/>
      <c r="AG1018" s="97"/>
      <c r="AH1018" s="97"/>
      <c r="AI1018" s="97"/>
      <c r="AJ1018" s="97"/>
      <c r="AK1018" s="97"/>
    </row>
    <row r="1019" spans="2:37" s="9" customFormat="1" x14ac:dyDescent="0.25">
      <c r="B1019" s="66"/>
      <c r="C1019" s="51"/>
      <c r="I1019" s="97"/>
      <c r="J1019" s="97"/>
      <c r="K1019" s="97"/>
      <c r="L1019" s="97"/>
      <c r="M1019" s="97"/>
      <c r="N1019" s="97"/>
      <c r="O1019" s="97"/>
      <c r="P1019" s="97"/>
      <c r="Q1019" s="97"/>
      <c r="R1019" s="97"/>
      <c r="S1019" s="97"/>
      <c r="T1019" s="97"/>
      <c r="U1019" s="97"/>
      <c r="V1019" s="97"/>
      <c r="W1019" s="97"/>
      <c r="X1019" s="97"/>
      <c r="Y1019" s="97"/>
      <c r="Z1019" s="97"/>
      <c r="AA1019" s="97"/>
      <c r="AB1019" s="97"/>
      <c r="AC1019" s="97"/>
      <c r="AD1019" s="97"/>
      <c r="AE1019" s="97"/>
      <c r="AF1019" s="97"/>
      <c r="AG1019" s="97"/>
      <c r="AH1019" s="97"/>
      <c r="AI1019" s="97"/>
      <c r="AJ1019" s="97"/>
      <c r="AK1019" s="97"/>
    </row>
    <row r="1020" spans="2:37" s="9" customFormat="1" x14ac:dyDescent="0.25">
      <c r="B1020" s="66"/>
      <c r="C1020" s="51"/>
      <c r="I1020" s="97"/>
      <c r="J1020" s="97"/>
      <c r="K1020" s="97"/>
      <c r="L1020" s="97"/>
      <c r="M1020" s="97"/>
      <c r="N1020" s="97"/>
      <c r="O1020" s="97"/>
      <c r="P1020" s="97"/>
      <c r="Q1020" s="97"/>
      <c r="R1020" s="97"/>
      <c r="S1020" s="97"/>
      <c r="T1020" s="97"/>
      <c r="U1020" s="97"/>
      <c r="V1020" s="97"/>
      <c r="W1020" s="97"/>
      <c r="X1020" s="97"/>
      <c r="Y1020" s="97"/>
      <c r="Z1020" s="97"/>
      <c r="AA1020" s="97"/>
      <c r="AB1020" s="97"/>
      <c r="AC1020" s="97"/>
      <c r="AD1020" s="97"/>
      <c r="AE1020" s="97"/>
      <c r="AF1020" s="97"/>
      <c r="AG1020" s="97"/>
      <c r="AH1020" s="97"/>
      <c r="AI1020" s="97"/>
      <c r="AJ1020" s="97"/>
      <c r="AK1020" s="97"/>
    </row>
    <row r="1021" spans="2:37" s="9" customFormat="1" x14ac:dyDescent="0.25">
      <c r="B1021" s="66"/>
      <c r="C1021" s="51"/>
      <c r="I1021" s="97"/>
      <c r="J1021" s="97"/>
      <c r="K1021" s="97"/>
      <c r="L1021" s="97"/>
      <c r="M1021" s="97"/>
      <c r="N1021" s="97"/>
      <c r="O1021" s="97"/>
      <c r="P1021" s="97"/>
      <c r="Q1021" s="97"/>
      <c r="R1021" s="97"/>
      <c r="S1021" s="97"/>
      <c r="T1021" s="97"/>
      <c r="U1021" s="97"/>
      <c r="V1021" s="97"/>
      <c r="W1021" s="97"/>
      <c r="X1021" s="97"/>
      <c r="Y1021" s="97"/>
      <c r="Z1021" s="97"/>
      <c r="AA1021" s="97"/>
      <c r="AB1021" s="97"/>
      <c r="AC1021" s="97"/>
      <c r="AD1021" s="97"/>
      <c r="AE1021" s="97"/>
      <c r="AF1021" s="97"/>
      <c r="AG1021" s="97"/>
      <c r="AH1021" s="97"/>
      <c r="AI1021" s="97"/>
      <c r="AJ1021" s="97"/>
      <c r="AK1021" s="97"/>
    </row>
    <row r="1022" spans="2:37" s="9" customFormat="1" x14ac:dyDescent="0.25">
      <c r="B1022" s="66"/>
      <c r="C1022" s="51"/>
      <c r="I1022" s="97"/>
      <c r="J1022" s="97"/>
      <c r="K1022" s="97"/>
      <c r="L1022" s="97"/>
      <c r="M1022" s="97"/>
      <c r="N1022" s="97"/>
      <c r="O1022" s="97"/>
      <c r="P1022" s="97"/>
      <c r="Q1022" s="97"/>
      <c r="R1022" s="97"/>
      <c r="S1022" s="97"/>
      <c r="T1022" s="97"/>
      <c r="U1022" s="97"/>
      <c r="V1022" s="97"/>
      <c r="W1022" s="97"/>
      <c r="X1022" s="97"/>
      <c r="Y1022" s="97"/>
      <c r="Z1022" s="97"/>
      <c r="AA1022" s="97"/>
      <c r="AB1022" s="97"/>
      <c r="AC1022" s="97"/>
      <c r="AD1022" s="97"/>
      <c r="AE1022" s="97"/>
      <c r="AF1022" s="97"/>
      <c r="AG1022" s="97"/>
      <c r="AH1022" s="97"/>
      <c r="AI1022" s="97"/>
      <c r="AJ1022" s="97"/>
      <c r="AK1022" s="97"/>
    </row>
    <row r="1023" spans="2:37" s="9" customFormat="1" x14ac:dyDescent="0.25">
      <c r="B1023" s="66"/>
      <c r="C1023" s="51"/>
      <c r="I1023" s="97"/>
      <c r="J1023" s="97"/>
      <c r="K1023" s="97"/>
      <c r="L1023" s="97"/>
      <c r="M1023" s="97"/>
      <c r="N1023" s="97"/>
      <c r="O1023" s="97"/>
      <c r="P1023" s="97"/>
      <c r="Q1023" s="97"/>
      <c r="R1023" s="97"/>
      <c r="S1023" s="97"/>
      <c r="T1023" s="97"/>
      <c r="U1023" s="97"/>
      <c r="V1023" s="97"/>
      <c r="W1023" s="97"/>
      <c r="X1023" s="97"/>
      <c r="Y1023" s="97"/>
      <c r="Z1023" s="97"/>
      <c r="AA1023" s="97"/>
      <c r="AB1023" s="97"/>
      <c r="AC1023" s="97"/>
      <c r="AD1023" s="97"/>
      <c r="AE1023" s="97"/>
      <c r="AF1023" s="97"/>
      <c r="AG1023" s="97"/>
      <c r="AH1023" s="97"/>
      <c r="AI1023" s="97"/>
      <c r="AJ1023" s="97"/>
      <c r="AK1023" s="97"/>
    </row>
    <row r="1024" spans="2:37" s="9" customFormat="1" x14ac:dyDescent="0.25">
      <c r="B1024" s="66"/>
      <c r="C1024" s="51"/>
      <c r="I1024" s="97"/>
      <c r="J1024" s="97"/>
      <c r="K1024" s="97"/>
      <c r="L1024" s="97"/>
      <c r="M1024" s="97"/>
      <c r="N1024" s="97"/>
      <c r="O1024" s="97"/>
      <c r="P1024" s="97"/>
      <c r="Q1024" s="97"/>
      <c r="R1024" s="97"/>
      <c r="S1024" s="97"/>
      <c r="T1024" s="97"/>
      <c r="U1024" s="97"/>
      <c r="V1024" s="97"/>
      <c r="W1024" s="97"/>
      <c r="X1024" s="97"/>
      <c r="Y1024" s="97"/>
      <c r="Z1024" s="97"/>
      <c r="AA1024" s="97"/>
      <c r="AB1024" s="97"/>
      <c r="AC1024" s="97"/>
      <c r="AD1024" s="97"/>
      <c r="AE1024" s="97"/>
      <c r="AF1024" s="97"/>
      <c r="AG1024" s="97"/>
      <c r="AH1024" s="97"/>
      <c r="AI1024" s="97"/>
      <c r="AJ1024" s="97"/>
      <c r="AK1024" s="97"/>
    </row>
    <row r="1025" spans="1:37" s="9" customFormat="1" x14ac:dyDescent="0.25">
      <c r="B1025" s="66"/>
      <c r="C1025" s="51"/>
      <c r="I1025" s="97"/>
      <c r="J1025" s="97"/>
      <c r="K1025" s="97"/>
      <c r="L1025" s="97"/>
      <c r="M1025" s="97"/>
      <c r="N1025" s="97"/>
      <c r="O1025" s="97"/>
      <c r="P1025" s="97"/>
      <c r="Q1025" s="97"/>
      <c r="R1025" s="97"/>
      <c r="S1025" s="97"/>
      <c r="T1025" s="97"/>
      <c r="U1025" s="97"/>
      <c r="V1025" s="97"/>
      <c r="W1025" s="97"/>
      <c r="X1025" s="97"/>
      <c r="Y1025" s="97"/>
      <c r="Z1025" s="97"/>
      <c r="AA1025" s="97"/>
      <c r="AB1025" s="97"/>
      <c r="AC1025" s="97"/>
      <c r="AD1025" s="97"/>
      <c r="AE1025" s="97"/>
      <c r="AF1025" s="97"/>
      <c r="AG1025" s="97"/>
      <c r="AH1025" s="97"/>
      <c r="AI1025" s="97"/>
      <c r="AJ1025" s="97"/>
      <c r="AK1025" s="97"/>
    </row>
    <row r="1026" spans="1:37" s="9" customFormat="1" x14ac:dyDescent="0.25">
      <c r="B1026" s="66"/>
      <c r="C1026" s="51"/>
      <c r="I1026" s="97"/>
      <c r="J1026" s="97"/>
      <c r="K1026" s="97"/>
      <c r="L1026" s="97"/>
      <c r="M1026" s="97"/>
      <c r="N1026" s="97"/>
      <c r="O1026" s="97"/>
      <c r="P1026" s="97"/>
      <c r="Q1026" s="97"/>
      <c r="R1026" s="97"/>
      <c r="S1026" s="97"/>
      <c r="T1026" s="97"/>
      <c r="U1026" s="97"/>
      <c r="V1026" s="97"/>
      <c r="W1026" s="97"/>
      <c r="X1026" s="97"/>
      <c r="Y1026" s="97"/>
      <c r="Z1026" s="97"/>
      <c r="AA1026" s="97"/>
      <c r="AB1026" s="97"/>
      <c r="AC1026" s="97"/>
      <c r="AD1026" s="97"/>
      <c r="AE1026" s="97"/>
      <c r="AF1026" s="97"/>
      <c r="AG1026" s="97"/>
      <c r="AH1026" s="97"/>
      <c r="AI1026" s="97"/>
      <c r="AJ1026" s="97"/>
      <c r="AK1026" s="97"/>
    </row>
    <row r="1027" spans="1:37" s="9" customFormat="1" x14ac:dyDescent="0.25">
      <c r="B1027" s="66" t="s">
        <v>34</v>
      </c>
      <c r="C1027" s="51" t="s">
        <v>1133</v>
      </c>
      <c r="I1027" s="97"/>
      <c r="J1027" s="97"/>
      <c r="K1027" s="97"/>
      <c r="L1027" s="97"/>
      <c r="M1027" s="97"/>
      <c r="N1027" s="97"/>
      <c r="O1027" s="97"/>
      <c r="P1027" s="97"/>
      <c r="Q1027" s="97"/>
      <c r="R1027" s="97"/>
      <c r="S1027" s="97"/>
      <c r="T1027" s="97"/>
      <c r="U1027" s="97"/>
      <c r="V1027" s="97"/>
      <c r="W1027" s="97"/>
      <c r="X1027" s="97"/>
      <c r="Y1027" s="97"/>
      <c r="Z1027" s="97"/>
      <c r="AA1027" s="97"/>
      <c r="AB1027" s="97"/>
      <c r="AC1027" s="97"/>
      <c r="AD1027" s="97"/>
      <c r="AE1027" s="97"/>
      <c r="AF1027" s="97"/>
      <c r="AG1027" s="97"/>
      <c r="AH1027" s="97"/>
      <c r="AI1027" s="97"/>
      <c r="AJ1027" s="97"/>
      <c r="AK1027" s="97"/>
    </row>
    <row r="1028" spans="1:37" s="9" customFormat="1" x14ac:dyDescent="0.25">
      <c r="B1028" s="66"/>
      <c r="C1028" s="51"/>
      <c r="D1028" s="109"/>
      <c r="E1028" s="109" t="s">
        <v>1139</v>
      </c>
      <c r="I1028" s="136">
        <v>100000</v>
      </c>
      <c r="J1028" s="136">
        <v>100000</v>
      </c>
      <c r="K1028" s="136">
        <v>100000</v>
      </c>
      <c r="L1028" s="136">
        <v>100000</v>
      </c>
      <c r="M1028" s="136">
        <v>100000</v>
      </c>
      <c r="N1028" s="136">
        <v>100000</v>
      </c>
      <c r="O1028" s="136">
        <v>100000</v>
      </c>
      <c r="P1028" s="136">
        <v>100000</v>
      </c>
      <c r="Q1028" s="136">
        <v>100000</v>
      </c>
      <c r="R1028" s="136">
        <v>100000</v>
      </c>
      <c r="S1028" s="136">
        <v>100000</v>
      </c>
      <c r="T1028" s="136">
        <v>100000</v>
      </c>
      <c r="U1028" s="136">
        <v>100000</v>
      </c>
      <c r="V1028" s="136">
        <v>100000</v>
      </c>
      <c r="W1028" s="136">
        <v>100000</v>
      </c>
      <c r="X1028" s="136">
        <v>100000</v>
      </c>
      <c r="Y1028" s="136">
        <v>100000</v>
      </c>
      <c r="Z1028" s="136">
        <v>100000</v>
      </c>
      <c r="AA1028" s="136">
        <v>100000</v>
      </c>
      <c r="AB1028" s="136">
        <v>100000</v>
      </c>
      <c r="AC1028" s="136">
        <v>100000</v>
      </c>
      <c r="AD1028" s="136">
        <v>100000</v>
      </c>
      <c r="AE1028" s="136">
        <v>100000</v>
      </c>
      <c r="AF1028" s="136">
        <v>100000</v>
      </c>
      <c r="AG1028" s="136">
        <v>100000</v>
      </c>
      <c r="AH1028" s="136">
        <v>100000</v>
      </c>
      <c r="AI1028" s="136">
        <v>100000</v>
      </c>
      <c r="AJ1028" s="136">
        <v>100000</v>
      </c>
      <c r="AK1028" s="136">
        <v>100000</v>
      </c>
    </row>
    <row r="1029" spans="1:37" s="9" customFormat="1" x14ac:dyDescent="0.25">
      <c r="B1029" s="66"/>
      <c r="C1029" s="248"/>
      <c r="D1029" s="9" t="s">
        <v>1127</v>
      </c>
      <c r="H1029" s="9" t="s">
        <v>1136</v>
      </c>
      <c r="I1029" s="97">
        <v>20000</v>
      </c>
      <c r="J1029" s="97">
        <v>20000</v>
      </c>
      <c r="K1029" s="97">
        <v>20000</v>
      </c>
      <c r="L1029" s="97">
        <v>20000</v>
      </c>
      <c r="M1029" s="97">
        <v>20000</v>
      </c>
      <c r="N1029" s="97">
        <v>20000</v>
      </c>
      <c r="O1029" s="97">
        <v>20000</v>
      </c>
      <c r="P1029" s="97">
        <v>20000</v>
      </c>
      <c r="Q1029" s="97">
        <v>20000</v>
      </c>
      <c r="R1029" s="97">
        <v>20000</v>
      </c>
      <c r="S1029" s="97">
        <v>20000</v>
      </c>
      <c r="T1029" s="97">
        <v>20000</v>
      </c>
      <c r="U1029" s="97">
        <v>20000</v>
      </c>
      <c r="V1029" s="97">
        <v>20000</v>
      </c>
      <c r="W1029" s="97">
        <v>20000</v>
      </c>
      <c r="X1029" s="97">
        <v>20000</v>
      </c>
      <c r="Y1029" s="97">
        <v>20000</v>
      </c>
      <c r="Z1029" s="97">
        <v>20000</v>
      </c>
      <c r="AA1029" s="97">
        <v>20000</v>
      </c>
      <c r="AB1029" s="97">
        <v>20000</v>
      </c>
      <c r="AC1029" s="97">
        <v>20000</v>
      </c>
      <c r="AD1029" s="97">
        <v>20000</v>
      </c>
      <c r="AE1029" s="97">
        <v>20000</v>
      </c>
      <c r="AF1029" s="97">
        <v>20000</v>
      </c>
      <c r="AG1029" s="97">
        <v>20000</v>
      </c>
      <c r="AH1029" s="97">
        <v>20000</v>
      </c>
      <c r="AI1029" s="97">
        <v>20000</v>
      </c>
      <c r="AJ1029" s="97">
        <v>20000</v>
      </c>
      <c r="AK1029" s="97">
        <v>20000</v>
      </c>
    </row>
    <row r="1030" spans="1:37" s="9" customFormat="1" x14ac:dyDescent="0.25">
      <c r="B1030" s="66"/>
      <c r="C1030" s="51"/>
      <c r="D1030" s="109"/>
      <c r="E1030" s="109" t="s">
        <v>1138</v>
      </c>
      <c r="H1030" s="109"/>
      <c r="I1030" s="136">
        <f>I1029-I1031</f>
        <v>2800</v>
      </c>
      <c r="J1030" s="136">
        <f t="shared" ref="J1030:AK1030" si="161">J1029-J1031</f>
        <v>2800</v>
      </c>
      <c r="K1030" s="136">
        <f t="shared" si="161"/>
        <v>2800</v>
      </c>
      <c r="L1030" s="136">
        <f t="shared" si="161"/>
        <v>2800</v>
      </c>
      <c r="M1030" s="136">
        <f t="shared" si="161"/>
        <v>2800</v>
      </c>
      <c r="N1030" s="136">
        <f t="shared" si="161"/>
        <v>2800</v>
      </c>
      <c r="O1030" s="136">
        <f t="shared" si="161"/>
        <v>2800</v>
      </c>
      <c r="P1030" s="136">
        <f t="shared" si="161"/>
        <v>2800</v>
      </c>
      <c r="Q1030" s="136">
        <f t="shared" si="161"/>
        <v>2800</v>
      </c>
      <c r="R1030" s="136">
        <f t="shared" si="161"/>
        <v>2800</v>
      </c>
      <c r="S1030" s="136">
        <f t="shared" si="161"/>
        <v>2800</v>
      </c>
      <c r="T1030" s="136">
        <f t="shared" si="161"/>
        <v>2800</v>
      </c>
      <c r="U1030" s="136">
        <f t="shared" si="161"/>
        <v>2800</v>
      </c>
      <c r="V1030" s="136">
        <f t="shared" si="161"/>
        <v>2800</v>
      </c>
      <c r="W1030" s="136">
        <f t="shared" si="161"/>
        <v>2800</v>
      </c>
      <c r="X1030" s="136">
        <f t="shared" si="161"/>
        <v>2800</v>
      </c>
      <c r="Y1030" s="136">
        <f t="shared" si="161"/>
        <v>2800</v>
      </c>
      <c r="Z1030" s="136">
        <f t="shared" si="161"/>
        <v>2800</v>
      </c>
      <c r="AA1030" s="136">
        <f t="shared" si="161"/>
        <v>2800</v>
      </c>
      <c r="AB1030" s="136">
        <f t="shared" si="161"/>
        <v>2800</v>
      </c>
      <c r="AC1030" s="136">
        <f t="shared" si="161"/>
        <v>2800</v>
      </c>
      <c r="AD1030" s="136">
        <f t="shared" si="161"/>
        <v>2800</v>
      </c>
      <c r="AE1030" s="136">
        <f t="shared" si="161"/>
        <v>2800</v>
      </c>
      <c r="AF1030" s="136">
        <f t="shared" si="161"/>
        <v>2800</v>
      </c>
      <c r="AG1030" s="136">
        <f t="shared" si="161"/>
        <v>2800</v>
      </c>
      <c r="AH1030" s="136">
        <f t="shared" si="161"/>
        <v>2800</v>
      </c>
      <c r="AI1030" s="136">
        <f t="shared" si="161"/>
        <v>2800</v>
      </c>
      <c r="AJ1030" s="136">
        <f t="shared" si="161"/>
        <v>2800</v>
      </c>
      <c r="AK1030" s="136">
        <f t="shared" si="161"/>
        <v>2800</v>
      </c>
    </row>
    <row r="1031" spans="1:37" s="9" customFormat="1" x14ac:dyDescent="0.25">
      <c r="B1031" s="66"/>
      <c r="C1031" s="248"/>
      <c r="D1031" s="9" t="s">
        <v>1141</v>
      </c>
      <c r="H1031" s="9" t="s">
        <v>1136</v>
      </c>
      <c r="I1031" s="97">
        <v>17200</v>
      </c>
      <c r="J1031" s="97">
        <v>17200</v>
      </c>
      <c r="K1031" s="97">
        <v>17200</v>
      </c>
      <c r="L1031" s="97">
        <v>17200</v>
      </c>
      <c r="M1031" s="97">
        <v>17200</v>
      </c>
      <c r="N1031" s="97">
        <v>17200</v>
      </c>
      <c r="O1031" s="97">
        <v>17200</v>
      </c>
      <c r="P1031" s="97">
        <v>17200</v>
      </c>
      <c r="Q1031" s="97">
        <v>17200</v>
      </c>
      <c r="R1031" s="97">
        <v>17200</v>
      </c>
      <c r="S1031" s="97">
        <v>17200</v>
      </c>
      <c r="T1031" s="97">
        <v>17200</v>
      </c>
      <c r="U1031" s="97">
        <v>17200</v>
      </c>
      <c r="V1031" s="97">
        <v>17200</v>
      </c>
      <c r="W1031" s="97">
        <v>17200</v>
      </c>
      <c r="X1031" s="97">
        <v>17200</v>
      </c>
      <c r="Y1031" s="97">
        <v>17200</v>
      </c>
      <c r="Z1031" s="97">
        <v>17200</v>
      </c>
      <c r="AA1031" s="97">
        <v>17200</v>
      </c>
      <c r="AB1031" s="97">
        <v>17200</v>
      </c>
      <c r="AC1031" s="97">
        <v>17200</v>
      </c>
      <c r="AD1031" s="97">
        <v>17200</v>
      </c>
      <c r="AE1031" s="97">
        <v>17200</v>
      </c>
      <c r="AF1031" s="97">
        <v>17200</v>
      </c>
      <c r="AG1031" s="97">
        <v>17200</v>
      </c>
      <c r="AH1031" s="97">
        <v>17200</v>
      </c>
      <c r="AI1031" s="97">
        <v>17200</v>
      </c>
      <c r="AJ1031" s="97">
        <v>17200</v>
      </c>
      <c r="AK1031" s="97">
        <v>17200</v>
      </c>
    </row>
    <row r="1032" spans="1:37" s="9" customFormat="1" x14ac:dyDescent="0.25">
      <c r="B1032" s="66"/>
      <c r="C1032" s="248"/>
      <c r="D1032" s="9" t="s">
        <v>1129</v>
      </c>
      <c r="H1032" s="9" t="s">
        <v>1136</v>
      </c>
      <c r="I1032" s="97"/>
      <c r="J1032" s="97"/>
      <c r="K1032" s="97"/>
      <c r="L1032" s="97"/>
      <c r="M1032" s="97"/>
      <c r="N1032" s="97"/>
      <c r="O1032" s="97"/>
      <c r="P1032" s="97">
        <f>_xlfn.FORECAST.LINEAR(P$2,CHOOSE({1;2},14000,15800),CHOOSE({1;2},2024,2035))</f>
        <v>11545.45454545453</v>
      </c>
      <c r="Q1032" s="97">
        <f>_xlfn.FORECAST.LINEAR(Q$2,CHOOSE({1;2},14000,15800),CHOOSE({1;2},2024,2035))</f>
        <v>11709.090909090883</v>
      </c>
      <c r="R1032" s="97">
        <f>_xlfn.FORECAST.LINEAR(R$2,CHOOSE({1;2},14000,15800),CHOOSE({1;2},2024,2035))</f>
        <v>11872.727272727236</v>
      </c>
      <c r="S1032" s="97">
        <f>_xlfn.FORECAST.LINEAR(S$2,CHOOSE({1;2},14000,15800),CHOOSE({1;2},2024,2035))</f>
        <v>12036.363636363589</v>
      </c>
      <c r="T1032" s="97">
        <f>_xlfn.FORECAST.LINEAR(T$2,CHOOSE({1;2},14000,15800),CHOOSE({1;2},2024,2035))</f>
        <v>12200</v>
      </c>
      <c r="U1032" s="97">
        <f>_xlfn.FORECAST.LINEAR(U$2,CHOOSE({1;2},14000,15800),CHOOSE({1;2},2024,2035))</f>
        <v>12363.636363636353</v>
      </c>
      <c r="V1032" s="97">
        <f>_xlfn.FORECAST.LINEAR(V$2,CHOOSE({1;2},14000,15800),CHOOSE({1;2},2024,2035))</f>
        <v>12527.272727272706</v>
      </c>
      <c r="W1032" s="97">
        <f>_xlfn.FORECAST.LINEAR(W$2,CHOOSE({1;2},14000,15800),CHOOSE({1;2},2024,2035))</f>
        <v>12690.909090909059</v>
      </c>
      <c r="X1032" s="97">
        <f>_xlfn.FORECAST.LINEAR(X$2,CHOOSE({1;2},14000,15800),CHOOSE({1;2},2024,2035))</f>
        <v>12854.545454545412</v>
      </c>
      <c r="Y1032" s="97">
        <f>_xlfn.FORECAST.LINEAR(Y$2,CHOOSE({1;2},14000,15800),CHOOSE({1;2},2024,2035))</f>
        <v>13018.181818181823</v>
      </c>
      <c r="Z1032" s="97">
        <f>_xlfn.FORECAST.LINEAR(Z$2,CHOOSE({1;2},14000,15800),CHOOSE({1;2},2024,2035))</f>
        <v>13181.818181818177</v>
      </c>
      <c r="AA1032" s="97">
        <f>_xlfn.FORECAST.LINEAR(AA$2,CHOOSE({1;2},14000,15800),CHOOSE({1;2},2024,2035))</f>
        <v>13345.45454545453</v>
      </c>
      <c r="AB1032" s="97">
        <f>_xlfn.FORECAST.LINEAR(AB$2,CHOOSE({1;2},14000,15800),CHOOSE({1;2},2024,2035))</f>
        <v>13509.090909090883</v>
      </c>
      <c r="AC1032" s="97">
        <f>_xlfn.FORECAST.LINEAR(AC$2,CHOOSE({1;2},14000,15800),CHOOSE({1;2},2024,2035))</f>
        <v>13672.727272727236</v>
      </c>
      <c r="AD1032" s="97">
        <f>_xlfn.FORECAST.LINEAR(AD$2,CHOOSE({1;2},14000,15800),CHOOSE({1;2},2024,2035))</f>
        <v>13836.363636363589</v>
      </c>
      <c r="AE1032" s="97">
        <f>_xlfn.FORECAST.LINEAR(AE$2,CHOOSE({1;2},14000,15800),CHOOSE({1;2},2024,2035))</f>
        <v>14000</v>
      </c>
      <c r="AF1032" s="97">
        <f>_xlfn.FORECAST.LINEAR(AF$2,CHOOSE({1;2},14000,15800),CHOOSE({1;2},2024,2035))</f>
        <v>14163.636363636353</v>
      </c>
      <c r="AG1032" s="97">
        <f>_xlfn.FORECAST.LINEAR(AG$2,CHOOSE({1;2},14000,15800),CHOOSE({1;2},2024,2035))</f>
        <v>14327.272727272706</v>
      </c>
      <c r="AH1032" s="97">
        <f>_xlfn.FORECAST.LINEAR(AH$2,CHOOSE({1;2},14000,15800),CHOOSE({1;2},2024,2035))</f>
        <v>14490.909090909059</v>
      </c>
      <c r="AI1032" s="97">
        <f>_xlfn.FORECAST.LINEAR(AI$2,CHOOSE({1;2},14000,15800),CHOOSE({1;2},2024,2035))</f>
        <v>14654.545454545412</v>
      </c>
      <c r="AJ1032" s="97">
        <f>_xlfn.FORECAST.LINEAR(AJ$2,CHOOSE({1;2},14000,15800),CHOOSE({1;2},2024,2035))</f>
        <v>14818.181818181823</v>
      </c>
      <c r="AK1032" s="97">
        <f>_xlfn.FORECAST.LINEAR(AK$2,CHOOSE({1;2},14000,15800),CHOOSE({1;2},2024,2035))</f>
        <v>14981.818181818177</v>
      </c>
    </row>
    <row r="1033" spans="1:37" s="9" customFormat="1" x14ac:dyDescent="0.25">
      <c r="B1033" s="66"/>
      <c r="C1033" s="248"/>
      <c r="D1033" s="9" t="s">
        <v>1137</v>
      </c>
      <c r="H1033" s="9" t="s">
        <v>1136</v>
      </c>
      <c r="I1033" s="97"/>
      <c r="J1033" s="97"/>
      <c r="K1033" s="97"/>
      <c r="L1033" s="97"/>
      <c r="M1033" s="97"/>
      <c r="N1033" s="97"/>
      <c r="O1033" s="97"/>
      <c r="P1033" s="97"/>
      <c r="Q1033" s="97"/>
      <c r="R1033" s="97"/>
      <c r="S1033" s="97"/>
      <c r="T1033" s="97"/>
      <c r="U1033" s="97"/>
      <c r="V1033" s="97"/>
      <c r="W1033" s="97">
        <f>_xlfn.FORECAST.LINEAR(W$2,CHOOSE({1;2},13400,14300),CHOOSE({1;2},2024,2035))</f>
        <v>12745.45454545453</v>
      </c>
      <c r="X1033" s="97">
        <f>_xlfn.FORECAST.LINEAR(X$2,CHOOSE({1;2},13400,14300),CHOOSE({1;2},2024,2035))</f>
        <v>12827.272727272706</v>
      </c>
      <c r="Y1033" s="97">
        <f>_xlfn.FORECAST.LINEAR(Y$2,CHOOSE({1;2},13400,14300),CHOOSE({1;2},2024,2035))</f>
        <v>12909.090909090912</v>
      </c>
      <c r="Z1033" s="97">
        <f>_xlfn.FORECAST.LINEAR(Z$2,CHOOSE({1;2},13400,14300),CHOOSE({1;2},2024,2035))</f>
        <v>12990.909090909088</v>
      </c>
      <c r="AA1033" s="97">
        <f>_xlfn.FORECAST.LINEAR(AA$2,CHOOSE({1;2},13400,14300),CHOOSE({1;2},2024,2035))</f>
        <v>13072.727272727265</v>
      </c>
      <c r="AB1033" s="97">
        <f>_xlfn.FORECAST.LINEAR(AB$2,CHOOSE({1;2},13400,14300),CHOOSE({1;2},2024,2035))</f>
        <v>13154.545454545441</v>
      </c>
      <c r="AC1033" s="97">
        <f>_xlfn.FORECAST.LINEAR(AC$2,CHOOSE({1;2},13400,14300),CHOOSE({1;2},2024,2035))</f>
        <v>13236.363636363618</v>
      </c>
      <c r="AD1033" s="97">
        <f>_xlfn.FORECAST.LINEAR(AD$2,CHOOSE({1;2},13400,14300),CHOOSE({1;2},2024,2035))</f>
        <v>13318.181818181794</v>
      </c>
      <c r="AE1033" s="97">
        <f>_xlfn.FORECAST.LINEAR(AE$2,CHOOSE({1;2},13400,14300),CHOOSE({1;2},2024,2035))</f>
        <v>13400</v>
      </c>
      <c r="AF1033" s="97">
        <f>_xlfn.FORECAST.LINEAR(AF$2,CHOOSE({1;2},13400,14300),CHOOSE({1;2},2024,2035))</f>
        <v>13481.818181818177</v>
      </c>
      <c r="AG1033" s="97">
        <f>_xlfn.FORECAST.LINEAR(AG$2,CHOOSE({1;2},13400,14300),CHOOSE({1;2},2024,2035))</f>
        <v>13563.636363636353</v>
      </c>
      <c r="AH1033" s="97">
        <f>_xlfn.FORECAST.LINEAR(AH$2,CHOOSE({1;2},13400,14300),CHOOSE({1;2},2024,2035))</f>
        <v>13645.45454545453</v>
      </c>
      <c r="AI1033" s="97">
        <f>_xlfn.FORECAST.LINEAR(AI$2,CHOOSE({1;2},13400,14300),CHOOSE({1;2},2024,2035))</f>
        <v>13727.272727272706</v>
      </c>
      <c r="AJ1033" s="97">
        <f>_xlfn.FORECAST.LINEAR(AJ$2,CHOOSE({1;2},13400,14300),CHOOSE({1;2},2024,2035))</f>
        <v>13809.090909090912</v>
      </c>
      <c r="AK1033" s="97">
        <f>_xlfn.FORECAST.LINEAR(AK$2,CHOOSE({1;2},13400,14300),CHOOSE({1;2},2024,2035))</f>
        <v>13890.909090909088</v>
      </c>
    </row>
    <row r="1034" spans="1:37" s="9" customFormat="1" x14ac:dyDescent="0.25">
      <c r="B1034" s="66"/>
      <c r="C1034" s="51"/>
      <c r="D1034" s="9" t="s">
        <v>1140</v>
      </c>
      <c r="H1034" s="9" t="s">
        <v>1136</v>
      </c>
      <c r="I1034" s="97" t="e">
        <f>AVERAGE(Datasheet!I1055:I1058)</f>
        <v>#DIV/0!</v>
      </c>
      <c r="J1034" s="97" t="e">
        <f>AVERAGE(Datasheet!J1055:J1058)</f>
        <v>#DIV/0!</v>
      </c>
      <c r="K1034" s="97" t="e">
        <f>AVERAGE(Datasheet!K1055:K1058)</f>
        <v>#DIV/0!</v>
      </c>
      <c r="L1034" s="97" t="e">
        <f>AVERAGE(Datasheet!L1055:L1058)</f>
        <v>#DIV/0!</v>
      </c>
      <c r="M1034" s="97" t="e">
        <f>AVERAGE(Datasheet!M1055:M1058)</f>
        <v>#DIV/0!</v>
      </c>
      <c r="N1034" s="97" t="e">
        <f>AVERAGE(Datasheet!N1055:N1058)</f>
        <v>#DIV/0!</v>
      </c>
      <c r="O1034" s="97" t="e">
        <f>AVERAGE(Datasheet!O1055:O1058)</f>
        <v>#DIV/0!</v>
      </c>
      <c r="P1034" s="97">
        <f>AVERAGE(Datasheet!P1055:P1058)</f>
        <v>11266.642857142884</v>
      </c>
      <c r="Q1034" s="97">
        <f>AVERAGE(Datasheet!Q1055:Q1058)</f>
        <v>11597.553571428594</v>
      </c>
      <c r="R1034" s="97">
        <f>AVERAGE(Datasheet!R1055:R1058)</f>
        <v>11928.464285714319</v>
      </c>
      <c r="S1034" s="97">
        <f>AVERAGE(Datasheet!S1055:S1058)</f>
        <v>12439.75</v>
      </c>
      <c r="T1034" s="97">
        <f>AVERAGE(Datasheet!T1055:T1058)</f>
        <v>12159.25</v>
      </c>
      <c r="U1034" s="97">
        <f>AVERAGE(Datasheet!U1055:U1058)</f>
        <v>12770</v>
      </c>
      <c r="V1034" s="97">
        <f>AVERAGE(Datasheet!V1055:V1058)</f>
        <v>13095.25</v>
      </c>
      <c r="W1034" s="97">
        <f>AVERAGE(Datasheet!W1055:W1058)</f>
        <v>14009.25</v>
      </c>
      <c r="X1034" s="97">
        <f>AVERAGE(Datasheet!X1055:X1058)</f>
        <v>14492.25</v>
      </c>
      <c r="Y1034" s="97">
        <f>AVERAGE(Datasheet!Y1055:Y1058)</f>
        <v>14516.5</v>
      </c>
      <c r="Z1034" s="97">
        <f>AVERAGE(Datasheet!Z1055:Z1058)</f>
        <v>13858.25</v>
      </c>
      <c r="AA1034" s="97">
        <f>AVERAGE(Datasheet!AA1055:AA1058)</f>
        <v>13269.5</v>
      </c>
      <c r="AB1034" s="97" t="e">
        <f>AVERAGE(Datasheet!AB1055:AB1058)</f>
        <v>#DIV/0!</v>
      </c>
      <c r="AC1034" s="97" t="e">
        <f>AVERAGE(Datasheet!AC1055:AC1058)</f>
        <v>#DIV/0!</v>
      </c>
      <c r="AD1034" s="97" t="e">
        <f>AVERAGE(Datasheet!AD1055:AD1058)</f>
        <v>#DIV/0!</v>
      </c>
      <c r="AE1034" s="97" t="e">
        <f>AVERAGE(Datasheet!AE1055:AE1058)</f>
        <v>#DIV/0!</v>
      </c>
      <c r="AF1034" s="97" t="e">
        <f>AVERAGE(Datasheet!AF1055:AF1058)</f>
        <v>#DIV/0!</v>
      </c>
      <c r="AG1034" s="97" t="e">
        <f>AVERAGE(Datasheet!AG1055:AG1058)</f>
        <v>#DIV/0!</v>
      </c>
      <c r="AH1034" s="97" t="e">
        <f>AVERAGE(Datasheet!AH1055:AH1058)</f>
        <v>#DIV/0!</v>
      </c>
      <c r="AI1034" s="97" t="e">
        <f>AVERAGE(Datasheet!AI1055:AI1058)</f>
        <v>#DIV/0!</v>
      </c>
      <c r="AJ1034" s="97" t="e">
        <f>AVERAGE(Datasheet!AJ1055:AJ1058)</f>
        <v>#DIV/0!</v>
      </c>
      <c r="AK1034" s="97" t="e">
        <f>AVERAGE(Datasheet!AK1055:AK1058)</f>
        <v>#DIV/0!</v>
      </c>
    </row>
    <row r="1035" spans="1:37" s="98" customFormat="1" ht="17.25" x14ac:dyDescent="0.3">
      <c r="A1035" s="98" t="s">
        <v>23</v>
      </c>
    </row>
    <row r="1036" spans="1:37" x14ac:dyDescent="0.25">
      <c r="B1036" s="64" t="s">
        <v>33</v>
      </c>
      <c r="C1036" t="s">
        <v>336</v>
      </c>
    </row>
    <row r="1037" spans="1:37" x14ac:dyDescent="0.25">
      <c r="B1037" s="64" t="s">
        <v>626</v>
      </c>
      <c r="C1037" t="s">
        <v>540</v>
      </c>
    </row>
    <row r="1038" spans="1:37" x14ac:dyDescent="0.25">
      <c r="B1038" s="64" t="s">
        <v>420</v>
      </c>
      <c r="C1038" t="s">
        <v>867</v>
      </c>
    </row>
    <row r="1039" spans="1:37" x14ac:dyDescent="0.25">
      <c r="B1039" s="64" t="s">
        <v>429</v>
      </c>
      <c r="C1039" s="195" t="s">
        <v>23</v>
      </c>
    </row>
    <row r="1040" spans="1:37" x14ac:dyDescent="0.25">
      <c r="B1040" s="64" t="s">
        <v>421</v>
      </c>
      <c r="C1040" t="s">
        <v>543</v>
      </c>
    </row>
    <row r="1041" spans="2:37" x14ac:dyDescent="0.25">
      <c r="B1041" s="64"/>
      <c r="D1041" t="s">
        <v>544</v>
      </c>
    </row>
    <row r="1042" spans="2:37" x14ac:dyDescent="0.25">
      <c r="B1042" s="64" t="s">
        <v>425</v>
      </c>
      <c r="C1042" t="s">
        <v>545</v>
      </c>
    </row>
    <row r="1043" spans="2:37" x14ac:dyDescent="0.25">
      <c r="B1043" s="64" t="s">
        <v>333</v>
      </c>
      <c r="C1043" t="s">
        <v>542</v>
      </c>
    </row>
    <row r="1044" spans="2:37" s="121" customFormat="1" ht="15.75" thickBot="1" x14ac:dyDescent="0.3">
      <c r="B1044" s="130" t="s">
        <v>334</v>
      </c>
      <c r="C1044" s="121" t="s">
        <v>541</v>
      </c>
    </row>
    <row r="1045" spans="2:37" s="9" customFormat="1" ht="15.75" thickTop="1" x14ac:dyDescent="0.25">
      <c r="B1045" s="66" t="s">
        <v>34</v>
      </c>
      <c r="C1045" s="51" t="s">
        <v>546</v>
      </c>
      <c r="I1045" s="97">
        <f>Datasheet!I1164</f>
        <v>0</v>
      </c>
      <c r="J1045" s="97">
        <f>Datasheet!J1164</f>
        <v>129</v>
      </c>
      <c r="K1045" s="97">
        <f>Datasheet!K1164</f>
        <v>251</v>
      </c>
      <c r="L1045" s="97">
        <f>Datasheet!L1164</f>
        <v>146</v>
      </c>
      <c r="M1045" s="97">
        <f>Datasheet!M1164</f>
        <v>264</v>
      </c>
      <c r="N1045" s="97">
        <f>Datasheet!N1164</f>
        <v>197</v>
      </c>
      <c r="O1045" s="97">
        <f>Datasheet!O1164</f>
        <v>220</v>
      </c>
      <c r="P1045" s="97">
        <f>Datasheet!P1164</f>
        <v>179</v>
      </c>
      <c r="Q1045" s="97">
        <f>Datasheet!Q1164</f>
        <v>136</v>
      </c>
      <c r="R1045" s="97">
        <f>Datasheet!R1164</f>
        <v>371</v>
      </c>
      <c r="S1045" s="97">
        <f>Datasheet!S1164</f>
        <v>206</v>
      </c>
      <c r="T1045" s="97">
        <f>Datasheet!T1164</f>
        <v>171</v>
      </c>
      <c r="U1045" s="97">
        <f>Datasheet!U1164</f>
        <v>213</v>
      </c>
      <c r="V1045" s="97">
        <f>Datasheet!V1164</f>
        <v>277</v>
      </c>
      <c r="W1045" s="97">
        <f>Datasheet!W1164</f>
        <v>284</v>
      </c>
      <c r="X1045" s="97">
        <f>Datasheet!X1164</f>
        <v>358</v>
      </c>
      <c r="Y1045" s="97">
        <f>Datasheet!Y1164</f>
        <v>181</v>
      </c>
      <c r="Z1045" s="97">
        <f>Datasheet!Z1164</f>
        <v>267</v>
      </c>
      <c r="AA1045" s="97">
        <f>Datasheet!AA1164</f>
        <v>219</v>
      </c>
      <c r="AB1045" s="97">
        <f>Datasheet!AB1164</f>
        <v>0</v>
      </c>
      <c r="AC1045" s="97">
        <f>Datasheet!AC1164</f>
        <v>0</v>
      </c>
      <c r="AD1045" s="97">
        <f>Datasheet!AD1164</f>
        <v>0</v>
      </c>
      <c r="AE1045" s="97">
        <f>Datasheet!AE1164</f>
        <v>0</v>
      </c>
      <c r="AF1045" s="97">
        <f>Datasheet!AF1164</f>
        <v>0</v>
      </c>
      <c r="AG1045" s="97">
        <f>Datasheet!AG1164</f>
        <v>0</v>
      </c>
      <c r="AH1045" s="97">
        <f>Datasheet!AH1164</f>
        <v>0</v>
      </c>
      <c r="AI1045" s="97">
        <f>Datasheet!AI1164</f>
        <v>0</v>
      </c>
      <c r="AJ1045" s="97">
        <f>Datasheet!AJ1164</f>
        <v>0</v>
      </c>
      <c r="AK1045" s="97">
        <f>Datasheet!AK1164</f>
        <v>0</v>
      </c>
    </row>
    <row r="1046" spans="2:37" s="9" customFormat="1" x14ac:dyDescent="0.25">
      <c r="B1046" s="66"/>
      <c r="C1046" s="51" t="s">
        <v>547</v>
      </c>
      <c r="I1046" s="97"/>
      <c r="J1046" s="97"/>
      <c r="K1046" s="97"/>
      <c r="L1046" s="97">
        <f>AVERAGE(J1045:L1045)</f>
        <v>175.33333333333334</v>
      </c>
      <c r="M1046" s="97">
        <f>AVERAGE(K1045:M1045)</f>
        <v>220.33333333333334</v>
      </c>
      <c r="N1046" s="97">
        <f t="shared" ref="N1046:Y1046" si="162">AVERAGE(L1045:N1045)</f>
        <v>202.33333333333334</v>
      </c>
      <c r="O1046" s="97">
        <f t="shared" si="162"/>
        <v>227</v>
      </c>
      <c r="P1046" s="97">
        <f t="shared" si="162"/>
        <v>198.66666666666666</v>
      </c>
      <c r="Q1046" s="97">
        <f t="shared" si="162"/>
        <v>178.33333333333334</v>
      </c>
      <c r="R1046" s="97">
        <f t="shared" si="162"/>
        <v>228.66666666666666</v>
      </c>
      <c r="S1046" s="97">
        <f t="shared" si="162"/>
        <v>237.66666666666666</v>
      </c>
      <c r="T1046" s="97">
        <f t="shared" si="162"/>
        <v>249.33333333333334</v>
      </c>
      <c r="U1046" s="97">
        <f t="shared" si="162"/>
        <v>196.66666666666666</v>
      </c>
      <c r="V1046" s="97">
        <f t="shared" si="162"/>
        <v>220.33333333333334</v>
      </c>
      <c r="W1046" s="97">
        <f t="shared" si="162"/>
        <v>258</v>
      </c>
      <c r="X1046" s="97">
        <f t="shared" si="162"/>
        <v>306.33333333333331</v>
      </c>
      <c r="Y1046" s="97">
        <f t="shared" si="162"/>
        <v>274.33333333333331</v>
      </c>
      <c r="Z1046" s="97">
        <f>AVERAGE(X1045:Z1045)</f>
        <v>268.66666666666669</v>
      </c>
      <c r="AA1046" s="97">
        <f t="shared" ref="AA1046:AK1046" si="163">AVERAGE(Y1045:AA1045)</f>
        <v>222.33333333333334</v>
      </c>
      <c r="AB1046" s="97">
        <f t="shared" si="163"/>
        <v>162</v>
      </c>
      <c r="AC1046" s="97">
        <f t="shared" si="163"/>
        <v>73</v>
      </c>
      <c r="AD1046" s="97">
        <f t="shared" si="163"/>
        <v>0</v>
      </c>
      <c r="AE1046" s="97">
        <f t="shared" si="163"/>
        <v>0</v>
      </c>
      <c r="AF1046" s="97">
        <f t="shared" si="163"/>
        <v>0</v>
      </c>
      <c r="AG1046" s="97">
        <f t="shared" si="163"/>
        <v>0</v>
      </c>
      <c r="AH1046" s="97">
        <f t="shared" si="163"/>
        <v>0</v>
      </c>
      <c r="AI1046" s="97">
        <f t="shared" si="163"/>
        <v>0</v>
      </c>
      <c r="AJ1046" s="97">
        <f t="shared" si="163"/>
        <v>0</v>
      </c>
      <c r="AK1046" s="97">
        <f t="shared" si="163"/>
        <v>0</v>
      </c>
    </row>
    <row r="1047" spans="2:37" s="9" customFormat="1" x14ac:dyDescent="0.25">
      <c r="B1047" s="66"/>
      <c r="C1047" s="51" t="s">
        <v>1620</v>
      </c>
      <c r="I1047" s="97"/>
      <c r="J1047" s="97"/>
      <c r="K1047" s="97"/>
      <c r="L1047" s="97"/>
      <c r="M1047" s="97"/>
      <c r="N1047" s="97">
        <f t="shared" ref="N1047:Y1047" si="164">AVERAGE(J1045:N1045)</f>
        <v>197.4</v>
      </c>
      <c r="O1047" s="97">
        <f t="shared" si="164"/>
        <v>215.6</v>
      </c>
      <c r="P1047" s="97">
        <f t="shared" si="164"/>
        <v>201.2</v>
      </c>
      <c r="Q1047" s="97">
        <f t="shared" si="164"/>
        <v>199.2</v>
      </c>
      <c r="R1047" s="97">
        <f t="shared" si="164"/>
        <v>220.6</v>
      </c>
      <c r="S1047" s="97">
        <f t="shared" si="164"/>
        <v>222.4</v>
      </c>
      <c r="T1047" s="97">
        <f t="shared" si="164"/>
        <v>212.6</v>
      </c>
      <c r="U1047" s="97">
        <f t="shared" si="164"/>
        <v>219.4</v>
      </c>
      <c r="V1047" s="97">
        <f t="shared" si="164"/>
        <v>247.6</v>
      </c>
      <c r="W1047" s="97">
        <f t="shared" si="164"/>
        <v>230.2</v>
      </c>
      <c r="X1047" s="97">
        <f t="shared" si="164"/>
        <v>260.60000000000002</v>
      </c>
      <c r="Y1047" s="97">
        <f t="shared" si="164"/>
        <v>262.60000000000002</v>
      </c>
      <c r="Z1047" s="97">
        <f>AVERAGE(V1045:Z1045)</f>
        <v>273.39999999999998</v>
      </c>
      <c r="AA1047" s="97">
        <f t="shared" ref="AA1047:AK1047" si="165">AVERAGE(W1045:AA1045)</f>
        <v>261.8</v>
      </c>
      <c r="AB1047" s="97">
        <f t="shared" si="165"/>
        <v>205</v>
      </c>
      <c r="AC1047" s="97">
        <f t="shared" si="165"/>
        <v>133.4</v>
      </c>
      <c r="AD1047" s="97">
        <f t="shared" si="165"/>
        <v>97.2</v>
      </c>
      <c r="AE1047" s="97">
        <f t="shared" si="165"/>
        <v>43.8</v>
      </c>
      <c r="AF1047" s="97">
        <f t="shared" si="165"/>
        <v>0</v>
      </c>
      <c r="AG1047" s="97">
        <f t="shared" si="165"/>
        <v>0</v>
      </c>
      <c r="AH1047" s="97">
        <f t="shared" si="165"/>
        <v>0</v>
      </c>
      <c r="AI1047" s="97">
        <f t="shared" si="165"/>
        <v>0</v>
      </c>
      <c r="AJ1047" s="97">
        <f t="shared" si="165"/>
        <v>0</v>
      </c>
      <c r="AK1047" s="97">
        <f t="shared" si="165"/>
        <v>0</v>
      </c>
    </row>
    <row r="1048" spans="2:37" s="9" customFormat="1" x14ac:dyDescent="0.25">
      <c r="B1048" s="66"/>
      <c r="C1048" s="51"/>
      <c r="I1048" s="97"/>
      <c r="J1048" s="97"/>
      <c r="K1048" s="97"/>
      <c r="L1048" s="97"/>
      <c r="M1048" s="97"/>
      <c r="N1048" s="97"/>
      <c r="O1048" s="97"/>
      <c r="P1048" s="97"/>
      <c r="Q1048" s="97"/>
      <c r="R1048" s="97"/>
      <c r="S1048" s="97"/>
      <c r="T1048" s="97"/>
      <c r="U1048" s="97"/>
      <c r="V1048" s="97"/>
      <c r="W1048" s="97"/>
      <c r="X1048" s="97"/>
      <c r="Y1048" s="97"/>
      <c r="Z1048" s="97"/>
      <c r="AA1048" s="97"/>
      <c r="AB1048" s="97"/>
      <c r="AC1048" s="97"/>
      <c r="AD1048" s="97"/>
      <c r="AE1048" s="97"/>
      <c r="AF1048" s="97"/>
      <c r="AG1048" s="97"/>
      <c r="AH1048" s="97"/>
      <c r="AI1048" s="97"/>
      <c r="AJ1048" s="97"/>
      <c r="AK1048" s="97"/>
    </row>
    <row r="1049" spans="2:37" s="9" customFormat="1" x14ac:dyDescent="0.25">
      <c r="B1049" s="66"/>
      <c r="C1049" s="51"/>
      <c r="I1049" s="97"/>
      <c r="J1049" s="97"/>
      <c r="K1049" s="97"/>
      <c r="L1049" s="97"/>
      <c r="M1049" s="97"/>
      <c r="N1049" s="97"/>
      <c r="O1049" s="97"/>
      <c r="P1049" s="97"/>
      <c r="Q1049" s="97"/>
      <c r="R1049" s="97"/>
      <c r="S1049" s="97"/>
      <c r="T1049" s="97"/>
      <c r="U1049" s="97"/>
      <c r="V1049" s="97"/>
      <c r="W1049" s="97"/>
      <c r="X1049" s="97"/>
      <c r="Y1049" s="97"/>
      <c r="Z1049" s="97"/>
      <c r="AA1049" s="97"/>
      <c r="AB1049" s="97"/>
      <c r="AC1049" s="97"/>
      <c r="AD1049" s="97"/>
      <c r="AE1049" s="97"/>
      <c r="AF1049" s="97"/>
      <c r="AG1049" s="97"/>
      <c r="AH1049" s="97"/>
      <c r="AI1049" s="97"/>
      <c r="AJ1049" s="97"/>
      <c r="AK1049" s="97"/>
    </row>
    <row r="1050" spans="2:37" s="9" customFormat="1" x14ac:dyDescent="0.25">
      <c r="B1050" s="66"/>
      <c r="C1050" s="51"/>
      <c r="I1050" s="97"/>
      <c r="J1050" s="97"/>
      <c r="K1050" s="97"/>
      <c r="L1050" s="97"/>
      <c r="M1050" s="97"/>
      <c r="N1050" s="97"/>
      <c r="O1050" s="97"/>
      <c r="P1050" s="97"/>
      <c r="Q1050" s="97"/>
      <c r="R1050" s="97"/>
      <c r="S1050" s="97"/>
      <c r="T1050" s="97"/>
      <c r="U1050" s="97"/>
      <c r="V1050" s="97"/>
      <c r="W1050" s="97"/>
      <c r="X1050" s="97"/>
      <c r="Y1050" s="97"/>
      <c r="Z1050" s="97"/>
      <c r="AA1050" s="97"/>
      <c r="AB1050" s="97"/>
      <c r="AC1050" s="97"/>
      <c r="AD1050" s="97"/>
      <c r="AE1050" s="97"/>
      <c r="AF1050" s="97"/>
      <c r="AG1050" s="97"/>
      <c r="AH1050" s="97"/>
      <c r="AI1050" s="97"/>
      <c r="AJ1050" s="97"/>
      <c r="AK1050" s="97"/>
    </row>
    <row r="1051" spans="2:37" s="9" customFormat="1" x14ac:dyDescent="0.25">
      <c r="B1051" s="66"/>
      <c r="C1051" s="51"/>
      <c r="I1051" s="97"/>
      <c r="J1051" s="97"/>
      <c r="K1051" s="97"/>
      <c r="L1051" s="97"/>
      <c r="M1051" s="97"/>
      <c r="N1051" s="97"/>
      <c r="O1051" s="97"/>
      <c r="P1051" s="97"/>
      <c r="Q1051" s="97"/>
      <c r="R1051" s="97"/>
      <c r="S1051" s="97"/>
      <c r="T1051" s="97"/>
      <c r="U1051" s="97"/>
      <c r="V1051" s="97"/>
      <c r="W1051" s="97"/>
      <c r="X1051" s="97"/>
      <c r="Y1051" s="97"/>
      <c r="Z1051" s="97"/>
      <c r="AA1051" s="97"/>
      <c r="AB1051" s="97"/>
      <c r="AC1051" s="97"/>
      <c r="AD1051" s="97"/>
      <c r="AE1051" s="97"/>
      <c r="AF1051" s="97"/>
      <c r="AG1051" s="97"/>
      <c r="AH1051" s="97"/>
      <c r="AI1051" s="97"/>
      <c r="AJ1051" s="97"/>
      <c r="AK1051" s="97"/>
    </row>
    <row r="1052" spans="2:37" s="9" customFormat="1" x14ac:dyDescent="0.25">
      <c r="B1052" s="66"/>
      <c r="C1052" s="51"/>
      <c r="I1052" s="97"/>
      <c r="J1052" s="97"/>
      <c r="K1052" s="97"/>
      <c r="L1052" s="97"/>
      <c r="M1052" s="97"/>
      <c r="N1052" s="97"/>
      <c r="O1052" s="97"/>
      <c r="P1052" s="97"/>
      <c r="Q1052" s="97"/>
      <c r="R1052" s="97"/>
      <c r="S1052" s="97"/>
      <c r="T1052" s="97"/>
      <c r="U1052" s="97"/>
      <c r="V1052" s="97"/>
      <c r="W1052" s="97"/>
      <c r="X1052" s="97"/>
      <c r="Y1052" s="97"/>
      <c r="Z1052" s="97"/>
      <c r="AA1052" s="97"/>
      <c r="AB1052" s="97"/>
      <c r="AC1052" s="97"/>
      <c r="AD1052" s="97"/>
      <c r="AE1052" s="97"/>
      <c r="AF1052" s="97"/>
      <c r="AG1052" s="97"/>
      <c r="AH1052" s="97"/>
      <c r="AI1052" s="97"/>
      <c r="AJ1052" s="97"/>
      <c r="AK1052" s="97"/>
    </row>
    <row r="1053" spans="2:37" s="9" customFormat="1" x14ac:dyDescent="0.25">
      <c r="B1053" s="66"/>
      <c r="C1053" s="51"/>
      <c r="I1053" s="97"/>
      <c r="J1053" s="97"/>
      <c r="K1053" s="97"/>
      <c r="L1053" s="97"/>
      <c r="M1053" s="97"/>
      <c r="N1053" s="97"/>
      <c r="O1053" s="97"/>
      <c r="P1053" s="97"/>
      <c r="Q1053" s="97"/>
      <c r="R1053" s="97"/>
      <c r="S1053" s="97"/>
      <c r="T1053" s="97"/>
      <c r="U1053" s="97"/>
      <c r="V1053" s="97"/>
      <c r="W1053" s="97"/>
      <c r="X1053" s="97"/>
      <c r="Y1053" s="97"/>
      <c r="Z1053" s="97"/>
      <c r="AA1053" s="97"/>
      <c r="AB1053" s="97"/>
      <c r="AC1053" s="97"/>
      <c r="AD1053" s="97"/>
      <c r="AE1053" s="97"/>
      <c r="AF1053" s="97"/>
      <c r="AG1053" s="97"/>
      <c r="AH1053" s="97"/>
      <c r="AI1053" s="97"/>
      <c r="AJ1053" s="97"/>
      <c r="AK1053" s="97"/>
    </row>
    <row r="1054" spans="2:37" s="9" customFormat="1" x14ac:dyDescent="0.25">
      <c r="B1054" s="66"/>
      <c r="C1054" s="51"/>
      <c r="I1054" s="97"/>
      <c r="J1054" s="97"/>
      <c r="K1054" s="97"/>
      <c r="L1054" s="97"/>
      <c r="M1054" s="97"/>
      <c r="N1054" s="97"/>
      <c r="O1054" s="97"/>
      <c r="P1054" s="97"/>
      <c r="Q1054" s="97"/>
      <c r="R1054" s="97"/>
      <c r="S1054" s="97"/>
      <c r="T1054" s="97"/>
      <c r="U1054" s="97"/>
      <c r="V1054" s="97"/>
      <c r="W1054" s="97"/>
      <c r="X1054" s="97"/>
      <c r="Y1054" s="97"/>
      <c r="Z1054" s="97"/>
      <c r="AA1054" s="97"/>
      <c r="AB1054" s="97"/>
      <c r="AC1054" s="97"/>
      <c r="AD1054" s="97"/>
      <c r="AE1054" s="97"/>
      <c r="AF1054" s="97"/>
      <c r="AG1054" s="97"/>
      <c r="AH1054" s="97"/>
      <c r="AI1054" s="97"/>
      <c r="AJ1054" s="97"/>
      <c r="AK1054" s="97"/>
    </row>
    <row r="1055" spans="2:37" s="9" customFormat="1" x14ac:dyDescent="0.25">
      <c r="B1055" s="66"/>
      <c r="C1055" s="51"/>
      <c r="I1055" s="97"/>
      <c r="J1055" s="97"/>
      <c r="K1055" s="97"/>
      <c r="L1055" s="97"/>
      <c r="M1055" s="97"/>
      <c r="N1055" s="97"/>
      <c r="O1055" s="97"/>
      <c r="P1055" s="97"/>
      <c r="Q1055" s="97"/>
      <c r="R1055" s="97"/>
      <c r="S1055" s="97"/>
      <c r="T1055" s="97"/>
      <c r="U1055" s="97"/>
      <c r="V1055" s="97"/>
      <c r="W1055" s="97"/>
      <c r="X1055" s="97"/>
      <c r="Y1055" s="97"/>
      <c r="Z1055" s="97"/>
      <c r="AA1055" s="97"/>
      <c r="AB1055" s="97"/>
      <c r="AC1055" s="97"/>
      <c r="AD1055" s="97"/>
      <c r="AE1055" s="97"/>
      <c r="AF1055" s="97"/>
      <c r="AG1055" s="97"/>
      <c r="AH1055" s="97"/>
      <c r="AI1055" s="97"/>
      <c r="AJ1055" s="97"/>
      <c r="AK1055" s="97"/>
    </row>
    <row r="1056" spans="2:37" s="9" customFormat="1" x14ac:dyDescent="0.25">
      <c r="B1056" s="66"/>
      <c r="C1056" s="51"/>
      <c r="I1056" s="97"/>
      <c r="J1056" s="97"/>
      <c r="K1056" s="97"/>
      <c r="L1056" s="97"/>
      <c r="M1056" s="97"/>
      <c r="N1056" s="97"/>
      <c r="O1056" s="97"/>
      <c r="P1056" s="97"/>
      <c r="Q1056" s="97"/>
      <c r="R1056" s="97"/>
      <c r="S1056" s="97"/>
      <c r="T1056" s="97"/>
      <c r="U1056" s="97"/>
      <c r="V1056" s="97"/>
      <c r="W1056" s="97"/>
      <c r="X1056" s="97"/>
      <c r="Y1056" s="97"/>
      <c r="Z1056" s="97"/>
      <c r="AA1056" s="97"/>
      <c r="AB1056" s="97"/>
      <c r="AC1056" s="97"/>
      <c r="AD1056" s="97"/>
      <c r="AE1056" s="97"/>
      <c r="AF1056" s="97"/>
      <c r="AG1056" s="97"/>
      <c r="AH1056" s="97"/>
      <c r="AI1056" s="97"/>
      <c r="AJ1056" s="97"/>
      <c r="AK1056" s="97"/>
    </row>
    <row r="1057" spans="1:37" s="9" customFormat="1" x14ac:dyDescent="0.25">
      <c r="B1057" s="66"/>
      <c r="C1057" s="51"/>
      <c r="I1057" s="97"/>
      <c r="J1057" s="97"/>
      <c r="K1057" s="97"/>
      <c r="L1057" s="97"/>
      <c r="M1057" s="97"/>
      <c r="N1057" s="97"/>
      <c r="O1057" s="97"/>
      <c r="P1057" s="97"/>
      <c r="Q1057" s="97"/>
      <c r="R1057" s="97"/>
      <c r="S1057" s="97"/>
      <c r="T1057" s="97"/>
      <c r="U1057" s="97"/>
      <c r="V1057" s="97"/>
      <c r="W1057" s="97"/>
      <c r="X1057" s="97"/>
      <c r="Y1057" s="97"/>
      <c r="Z1057" s="97"/>
      <c r="AA1057" s="97"/>
      <c r="AB1057" s="97"/>
      <c r="AC1057" s="97"/>
      <c r="AD1057" s="97"/>
      <c r="AE1057" s="97"/>
      <c r="AF1057" s="97"/>
      <c r="AG1057" s="97"/>
      <c r="AH1057" s="97"/>
      <c r="AI1057" s="97"/>
      <c r="AJ1057" s="97"/>
      <c r="AK1057" s="97"/>
    </row>
    <row r="1058" spans="1:37" s="9" customFormat="1" x14ac:dyDescent="0.25">
      <c r="B1058" s="66"/>
      <c r="C1058" s="51"/>
      <c r="I1058" s="97"/>
      <c r="J1058" s="97"/>
      <c r="K1058" s="97"/>
      <c r="L1058" s="97"/>
      <c r="M1058" s="97"/>
      <c r="N1058" s="97"/>
      <c r="O1058" s="97"/>
      <c r="P1058" s="97"/>
      <c r="Q1058" s="97"/>
      <c r="R1058" s="97"/>
      <c r="S1058" s="97"/>
      <c r="T1058" s="97"/>
      <c r="U1058" s="97"/>
      <c r="V1058" s="97"/>
      <c r="W1058" s="97"/>
      <c r="X1058" s="97"/>
      <c r="Y1058" s="97"/>
      <c r="Z1058" s="97"/>
      <c r="AA1058" s="97"/>
      <c r="AB1058" s="97"/>
      <c r="AC1058" s="97"/>
      <c r="AD1058" s="97"/>
      <c r="AE1058" s="97"/>
      <c r="AF1058" s="97"/>
      <c r="AG1058" s="97"/>
      <c r="AH1058" s="97"/>
      <c r="AI1058" s="97"/>
      <c r="AJ1058" s="97"/>
      <c r="AK1058" s="97"/>
    </row>
    <row r="1059" spans="1:37" s="9" customFormat="1" x14ac:dyDescent="0.25">
      <c r="B1059" s="66"/>
      <c r="C1059" s="51"/>
      <c r="I1059" s="97"/>
      <c r="J1059" s="97"/>
      <c r="K1059" s="97"/>
      <c r="L1059" s="97"/>
      <c r="M1059" s="97"/>
      <c r="N1059" s="97"/>
      <c r="O1059" s="97"/>
      <c r="P1059" s="97"/>
      <c r="Q1059" s="97"/>
      <c r="R1059" s="97"/>
      <c r="S1059" s="97"/>
      <c r="T1059" s="97"/>
      <c r="U1059" s="97"/>
      <c r="V1059" s="97"/>
      <c r="W1059" s="97"/>
      <c r="X1059" s="97"/>
      <c r="Y1059" s="97"/>
      <c r="Z1059" s="97"/>
      <c r="AA1059" s="97"/>
      <c r="AB1059" s="97"/>
      <c r="AC1059" s="97"/>
      <c r="AD1059" s="97"/>
      <c r="AE1059" s="97"/>
      <c r="AF1059" s="97"/>
      <c r="AG1059" s="97"/>
      <c r="AH1059" s="97"/>
      <c r="AI1059" s="97"/>
      <c r="AJ1059" s="97"/>
      <c r="AK1059" s="97"/>
    </row>
    <row r="1060" spans="1:37" s="9" customFormat="1" x14ac:dyDescent="0.25">
      <c r="B1060" s="66"/>
      <c r="C1060" s="51"/>
      <c r="I1060" s="97"/>
      <c r="J1060" s="97"/>
      <c r="K1060" s="97"/>
      <c r="L1060" s="97"/>
      <c r="M1060" s="97"/>
      <c r="N1060" s="97"/>
      <c r="O1060" s="97"/>
      <c r="P1060" s="97"/>
      <c r="Q1060" s="97"/>
      <c r="R1060" s="97"/>
      <c r="S1060" s="97"/>
      <c r="T1060" s="97"/>
      <c r="U1060" s="97"/>
      <c r="V1060" s="97"/>
      <c r="W1060" s="97"/>
      <c r="X1060" s="97"/>
      <c r="Y1060" s="97"/>
      <c r="Z1060" s="97"/>
      <c r="AA1060" s="97"/>
      <c r="AB1060" s="97"/>
      <c r="AC1060" s="97"/>
      <c r="AD1060" s="97"/>
      <c r="AE1060" s="97"/>
      <c r="AF1060" s="97"/>
      <c r="AG1060" s="97"/>
      <c r="AH1060" s="97"/>
      <c r="AI1060" s="97"/>
      <c r="AJ1060" s="97"/>
      <c r="AK1060" s="97"/>
    </row>
    <row r="1061" spans="1:37" s="9" customFormat="1" x14ac:dyDescent="0.25">
      <c r="B1061" s="66"/>
      <c r="C1061" s="51"/>
      <c r="I1061" s="97"/>
      <c r="J1061" s="97"/>
      <c r="K1061" s="97"/>
      <c r="L1061" s="97"/>
      <c r="M1061" s="97"/>
      <c r="N1061" s="97"/>
      <c r="O1061" s="97"/>
      <c r="P1061" s="97"/>
      <c r="Q1061" s="97"/>
      <c r="R1061" s="97"/>
      <c r="S1061" s="97"/>
      <c r="T1061" s="97"/>
      <c r="U1061" s="97"/>
      <c r="V1061" s="97"/>
      <c r="W1061" s="97"/>
      <c r="X1061" s="97"/>
      <c r="Y1061" s="97"/>
      <c r="Z1061" s="97"/>
      <c r="AA1061" s="97"/>
      <c r="AB1061" s="97"/>
      <c r="AC1061" s="97"/>
      <c r="AD1061" s="97"/>
      <c r="AE1061" s="97"/>
      <c r="AF1061" s="97"/>
      <c r="AG1061" s="97"/>
      <c r="AH1061" s="97"/>
      <c r="AI1061" s="97"/>
      <c r="AJ1061" s="97"/>
      <c r="AK1061" s="97"/>
    </row>
    <row r="1062" spans="1:37" s="9" customFormat="1" x14ac:dyDescent="0.25">
      <c r="B1062" s="66"/>
      <c r="C1062" s="51"/>
      <c r="I1062" s="97"/>
      <c r="J1062" s="97"/>
      <c r="K1062" s="97"/>
      <c r="L1062" s="97"/>
      <c r="M1062" s="97"/>
      <c r="N1062" s="97"/>
      <c r="O1062" s="97"/>
      <c r="P1062" s="97"/>
      <c r="Q1062" s="97"/>
      <c r="R1062" s="97"/>
      <c r="S1062" s="97"/>
      <c r="T1062" s="97"/>
      <c r="U1062" s="97"/>
      <c r="V1062" s="97"/>
      <c r="W1062" s="97"/>
      <c r="X1062" s="97"/>
      <c r="Y1062" s="97"/>
      <c r="Z1062" s="97"/>
      <c r="AA1062" s="97"/>
      <c r="AB1062" s="97"/>
      <c r="AC1062" s="97"/>
      <c r="AD1062" s="97"/>
      <c r="AE1062" s="97"/>
      <c r="AF1062" s="97"/>
      <c r="AG1062" s="97"/>
      <c r="AH1062" s="97"/>
      <c r="AI1062" s="97"/>
      <c r="AJ1062" s="97"/>
      <c r="AK1062" s="97"/>
    </row>
    <row r="1063" spans="1:37" s="95" customFormat="1" x14ac:dyDescent="0.25">
      <c r="B1063" s="131"/>
      <c r="I1063" s="132"/>
      <c r="J1063" s="132"/>
      <c r="K1063" s="132"/>
      <c r="L1063" s="132"/>
      <c r="M1063" s="132"/>
      <c r="N1063" s="132"/>
      <c r="O1063" s="132"/>
      <c r="P1063" s="132"/>
      <c r="Q1063" s="132"/>
      <c r="R1063" s="132"/>
      <c r="S1063" s="132"/>
      <c r="T1063" s="132"/>
      <c r="U1063" s="132"/>
      <c r="V1063" s="132"/>
      <c r="W1063" s="132"/>
      <c r="X1063" s="132"/>
      <c r="Y1063" s="132"/>
      <c r="Z1063" s="132"/>
      <c r="AA1063" s="132"/>
      <c r="AB1063" s="132"/>
      <c r="AC1063" s="132"/>
      <c r="AD1063" s="132"/>
      <c r="AE1063" s="132"/>
      <c r="AF1063" s="132"/>
      <c r="AG1063" s="132"/>
      <c r="AH1063" s="132"/>
      <c r="AI1063" s="132"/>
      <c r="AJ1063" s="132"/>
      <c r="AK1063" s="132"/>
    </row>
    <row r="1064" spans="1:37" s="119" customFormat="1" ht="17.25" x14ac:dyDescent="0.3">
      <c r="A1064" s="119" t="s">
        <v>415</v>
      </c>
    </row>
    <row r="1065" spans="1:37" x14ac:dyDescent="0.25">
      <c r="B1065" s="64" t="s">
        <v>33</v>
      </c>
      <c r="C1065" t="s">
        <v>563</v>
      </c>
    </row>
    <row r="1066" spans="1:37" x14ac:dyDescent="0.25">
      <c r="B1066" s="64" t="s">
        <v>626</v>
      </c>
      <c r="C1066" t="s">
        <v>871</v>
      </c>
    </row>
    <row r="1067" spans="1:37" x14ac:dyDescent="0.25">
      <c r="B1067" s="64" t="s">
        <v>420</v>
      </c>
      <c r="C1067" t="s">
        <v>869</v>
      </c>
    </row>
    <row r="1068" spans="1:37" x14ac:dyDescent="0.25">
      <c r="B1068" s="64" t="s">
        <v>429</v>
      </c>
      <c r="C1068" t="s">
        <v>870</v>
      </c>
    </row>
    <row r="1069" spans="1:37" x14ac:dyDescent="0.25">
      <c r="B1069" s="64" t="s">
        <v>421</v>
      </c>
      <c r="C1069" t="s">
        <v>870</v>
      </c>
    </row>
    <row r="1070" spans="1:37" x14ac:dyDescent="0.25">
      <c r="B1070" s="64" t="s">
        <v>425</v>
      </c>
      <c r="C1070" t="s">
        <v>870</v>
      </c>
    </row>
    <row r="1071" spans="1:37" x14ac:dyDescent="0.25">
      <c r="B1071" s="64" t="s">
        <v>333</v>
      </c>
      <c r="C1071" t="s">
        <v>870</v>
      </c>
    </row>
    <row r="1072" spans="1:37" s="121" customFormat="1" ht="15.75" thickBot="1" x14ac:dyDescent="0.3">
      <c r="B1072" s="130" t="s">
        <v>334</v>
      </c>
      <c r="C1072" s="121" t="s">
        <v>870</v>
      </c>
    </row>
    <row r="1073" spans="1:37" s="9" customFormat="1" ht="15.75" thickTop="1" x14ac:dyDescent="0.25">
      <c r="B1073" s="66" t="s">
        <v>34</v>
      </c>
      <c r="C1073" s="51"/>
      <c r="I1073" s="97"/>
      <c r="J1073" s="97"/>
      <c r="K1073" s="97"/>
      <c r="L1073" s="97"/>
      <c r="M1073" s="97"/>
      <c r="N1073" s="97"/>
      <c r="O1073" s="97"/>
      <c r="P1073" s="97"/>
      <c r="Q1073" s="97"/>
      <c r="R1073" s="97"/>
      <c r="S1073" s="97"/>
      <c r="T1073" s="97"/>
      <c r="U1073" s="97"/>
      <c r="V1073" s="97"/>
      <c r="W1073" s="97"/>
      <c r="X1073" s="97"/>
      <c r="Y1073" s="97"/>
      <c r="Z1073" s="97"/>
      <c r="AA1073" s="97"/>
      <c r="AB1073" s="97"/>
      <c r="AC1073" s="97"/>
      <c r="AD1073" s="97"/>
      <c r="AE1073" s="97"/>
      <c r="AF1073" s="97"/>
      <c r="AG1073" s="97"/>
      <c r="AH1073" s="97"/>
      <c r="AI1073" s="97"/>
      <c r="AJ1073" s="97"/>
      <c r="AK1073" s="97"/>
    </row>
    <row r="1074" spans="1:37" s="92" customFormat="1" x14ac:dyDescent="0.25"/>
    <row r="1075" spans="1:37" s="98" customFormat="1" ht="17.25" x14ac:dyDescent="0.3">
      <c r="A1075" s="98" t="s">
        <v>416</v>
      </c>
    </row>
    <row r="1076" spans="1:37" x14ac:dyDescent="0.25">
      <c r="B1076" s="64" t="s">
        <v>33</v>
      </c>
      <c r="C1076" t="s">
        <v>336</v>
      </c>
    </row>
    <row r="1077" spans="1:37" x14ac:dyDescent="0.25">
      <c r="B1077" s="64"/>
      <c r="C1077" t="s">
        <v>562</v>
      </c>
    </row>
    <row r="1078" spans="1:37" x14ac:dyDescent="0.25">
      <c r="B1078" s="64" t="s">
        <v>420</v>
      </c>
      <c r="C1078" t="s">
        <v>1324</v>
      </c>
    </row>
    <row r="1079" spans="1:37" x14ac:dyDescent="0.25">
      <c r="B1079" s="64" t="s">
        <v>429</v>
      </c>
      <c r="C1079" s="195" t="s">
        <v>872</v>
      </c>
    </row>
    <row r="1080" spans="1:37" x14ac:dyDescent="0.25">
      <c r="B1080" s="64" t="s">
        <v>421</v>
      </c>
      <c r="C1080" t="s">
        <v>1325</v>
      </c>
    </row>
    <row r="1081" spans="1:37" x14ac:dyDescent="0.25">
      <c r="B1081" s="64" t="s">
        <v>425</v>
      </c>
    </row>
    <row r="1082" spans="1:37" x14ac:dyDescent="0.25">
      <c r="B1082" s="64" t="s">
        <v>333</v>
      </c>
    </row>
    <row r="1083" spans="1:37" s="121" customFormat="1" ht="15.75" thickBot="1" x14ac:dyDescent="0.3">
      <c r="B1083" s="130" t="s">
        <v>334</v>
      </c>
    </row>
    <row r="1084" spans="1:37" s="9" customFormat="1" ht="15.75" thickTop="1" x14ac:dyDescent="0.25">
      <c r="B1084" s="66" t="s">
        <v>34</v>
      </c>
      <c r="C1084" s="51"/>
      <c r="I1084" s="97"/>
      <c r="J1084" s="97"/>
      <c r="K1084" s="97"/>
      <c r="L1084" s="97"/>
      <c r="M1084" s="97"/>
      <c r="N1084" s="97"/>
      <c r="O1084" s="97"/>
      <c r="P1084" s="97"/>
      <c r="Q1084" s="97"/>
      <c r="R1084" s="97"/>
      <c r="S1084" s="97"/>
      <c r="T1084" s="97"/>
      <c r="U1084" s="97"/>
      <c r="V1084" s="97"/>
      <c r="W1084" s="97"/>
      <c r="X1084" s="97"/>
      <c r="Y1084" s="97"/>
      <c r="Z1084" s="97"/>
      <c r="AA1084" s="97"/>
      <c r="AB1084" s="97"/>
      <c r="AC1084" s="97"/>
      <c r="AD1084" s="97"/>
      <c r="AE1084" s="97"/>
      <c r="AF1084" s="97"/>
      <c r="AG1084" s="97"/>
      <c r="AH1084" s="97"/>
      <c r="AI1084" s="97"/>
      <c r="AJ1084" s="97"/>
      <c r="AK1084" s="97"/>
    </row>
    <row r="1085" spans="1:37" s="249" customFormat="1" x14ac:dyDescent="0.25"/>
    <row r="1086" spans="1:37" s="80" customFormat="1" ht="17.25" x14ac:dyDescent="0.3">
      <c r="A1086" s="80" t="s">
        <v>548</v>
      </c>
    </row>
    <row r="1087" spans="1:37" x14ac:dyDescent="0.25">
      <c r="B1087" s="64" t="s">
        <v>33</v>
      </c>
      <c r="C1087" t="s">
        <v>460</v>
      </c>
    </row>
    <row r="1088" spans="1:37" x14ac:dyDescent="0.25">
      <c r="B1088" s="64"/>
      <c r="C1088" t="s">
        <v>1342</v>
      </c>
    </row>
    <row r="1089" spans="2:37" x14ac:dyDescent="0.25">
      <c r="B1089" s="64" t="s">
        <v>420</v>
      </c>
      <c r="C1089" t="s">
        <v>459</v>
      </c>
    </row>
    <row r="1090" spans="2:37" x14ac:dyDescent="0.25">
      <c r="B1090" s="64" t="s">
        <v>429</v>
      </c>
      <c r="C1090" s="268" t="s">
        <v>19</v>
      </c>
    </row>
    <row r="1091" spans="2:37" x14ac:dyDescent="0.25">
      <c r="B1091" s="64"/>
      <c r="C1091" s="268" t="s">
        <v>1000</v>
      </c>
    </row>
    <row r="1092" spans="2:37" x14ac:dyDescent="0.25">
      <c r="B1092" s="64" t="s">
        <v>421</v>
      </c>
      <c r="C1092" t="s">
        <v>1621</v>
      </c>
    </row>
    <row r="1093" spans="2:37" x14ac:dyDescent="0.25">
      <c r="B1093" s="64" t="s">
        <v>425</v>
      </c>
      <c r="C1093" t="s">
        <v>1622</v>
      </c>
    </row>
    <row r="1094" spans="2:37" x14ac:dyDescent="0.25">
      <c r="B1094" s="64" t="s">
        <v>333</v>
      </c>
    </row>
    <row r="1095" spans="2:37" s="99" customFormat="1" ht="15.75" thickBot="1" x14ac:dyDescent="0.3">
      <c r="B1095" s="100" t="s">
        <v>334</v>
      </c>
    </row>
    <row r="1096" spans="2:37" s="102" customFormat="1" ht="15.75" thickTop="1" x14ac:dyDescent="0.25">
      <c r="B1096" s="116"/>
      <c r="C1096" s="117"/>
      <c r="I1096" s="101"/>
      <c r="J1096" s="101"/>
      <c r="K1096" s="101"/>
      <c r="L1096" s="101"/>
      <c r="M1096" s="101"/>
      <c r="N1096" s="101"/>
      <c r="O1096" s="97"/>
      <c r="P1096" s="97"/>
      <c r="Q1096" s="97"/>
      <c r="R1096" s="97"/>
      <c r="S1096" s="97"/>
      <c r="T1096" s="97"/>
      <c r="U1096" s="97"/>
      <c r="V1096" s="97"/>
      <c r="W1096" s="97"/>
      <c r="X1096" s="97"/>
      <c r="Y1096" s="97"/>
      <c r="Z1096" s="97"/>
      <c r="AA1096" s="97"/>
      <c r="AB1096" s="97"/>
      <c r="AC1096" s="97"/>
      <c r="AD1096" s="97"/>
      <c r="AE1096" s="97"/>
      <c r="AF1096" s="97"/>
      <c r="AG1096" s="97"/>
      <c r="AH1096" s="97"/>
      <c r="AI1096" s="97"/>
      <c r="AJ1096" s="97"/>
      <c r="AK1096" s="97"/>
    </row>
    <row r="1097" spans="2:37" s="102" customFormat="1" x14ac:dyDescent="0.25">
      <c r="B1097" s="116"/>
      <c r="C1097" s="117"/>
      <c r="I1097" s="101"/>
      <c r="J1097" s="101"/>
      <c r="K1097" s="101"/>
      <c r="L1097" s="101"/>
      <c r="M1097" s="101"/>
      <c r="N1097" s="101"/>
      <c r="O1097" s="97"/>
      <c r="P1097" s="97"/>
      <c r="Q1097" s="97"/>
      <c r="R1097" s="97"/>
      <c r="S1097" s="97"/>
      <c r="T1097" s="97"/>
      <c r="U1097" s="97"/>
      <c r="V1097" s="97"/>
      <c r="W1097" s="97"/>
      <c r="X1097" s="97"/>
      <c r="Y1097" s="97"/>
      <c r="Z1097" s="97"/>
      <c r="AA1097" s="97"/>
      <c r="AB1097" s="97"/>
      <c r="AC1097" s="97"/>
      <c r="AD1097" s="97"/>
      <c r="AE1097" s="97"/>
      <c r="AF1097" s="97"/>
      <c r="AG1097" s="97"/>
      <c r="AH1097" s="97"/>
      <c r="AI1097" s="97"/>
      <c r="AJ1097" s="97"/>
      <c r="AK1097" s="97"/>
    </row>
    <row r="1098" spans="2:37" s="102" customFormat="1" x14ac:dyDescent="0.25">
      <c r="B1098" s="116"/>
      <c r="C1098" s="117"/>
      <c r="I1098" s="101"/>
      <c r="J1098" s="101"/>
      <c r="K1098" s="101"/>
      <c r="L1098" s="101"/>
      <c r="M1098" s="101"/>
      <c r="N1098" s="101"/>
      <c r="O1098" s="97"/>
      <c r="P1098" s="97"/>
      <c r="Q1098" s="97"/>
      <c r="R1098" s="97"/>
      <c r="S1098" s="97"/>
      <c r="T1098" s="97"/>
      <c r="U1098" s="97"/>
      <c r="V1098" s="97"/>
      <c r="W1098" s="97"/>
      <c r="X1098" s="97"/>
      <c r="Y1098" s="97"/>
      <c r="Z1098" s="97"/>
      <c r="AA1098" s="97"/>
      <c r="AB1098" s="97"/>
      <c r="AC1098" s="97"/>
      <c r="AD1098" s="97"/>
      <c r="AE1098" s="97"/>
      <c r="AF1098" s="97"/>
      <c r="AG1098" s="97"/>
      <c r="AH1098" s="97"/>
      <c r="AI1098" s="97"/>
      <c r="AJ1098" s="97"/>
      <c r="AK1098" s="97"/>
    </row>
    <row r="1099" spans="2:37" s="102" customFormat="1" x14ac:dyDescent="0.25">
      <c r="B1099" s="116"/>
      <c r="C1099" s="117"/>
      <c r="I1099" s="101"/>
      <c r="J1099" s="101"/>
      <c r="K1099" s="101"/>
      <c r="L1099" s="101"/>
      <c r="M1099" s="101"/>
      <c r="N1099" s="101"/>
      <c r="O1099" s="97"/>
      <c r="P1099" s="97"/>
      <c r="Q1099" s="97"/>
      <c r="R1099" s="97"/>
      <c r="S1099" s="97"/>
      <c r="T1099" s="97"/>
      <c r="U1099" s="97"/>
      <c r="V1099" s="97"/>
      <c r="W1099" s="97"/>
      <c r="X1099" s="97"/>
      <c r="Y1099" s="97"/>
      <c r="Z1099" s="97"/>
      <c r="AA1099" s="97"/>
      <c r="AB1099" s="97"/>
      <c r="AC1099" s="97"/>
      <c r="AD1099" s="97"/>
      <c r="AE1099" s="97"/>
      <c r="AF1099" s="97"/>
      <c r="AG1099" s="97"/>
      <c r="AH1099" s="97"/>
      <c r="AI1099" s="97"/>
      <c r="AJ1099" s="97"/>
      <c r="AK1099" s="97"/>
    </row>
    <row r="1100" spans="2:37" s="102" customFormat="1" x14ac:dyDescent="0.25">
      <c r="B1100" s="116"/>
      <c r="C1100" s="117"/>
      <c r="I1100" s="101"/>
      <c r="J1100" s="101"/>
      <c r="K1100" s="101"/>
      <c r="L1100" s="101"/>
      <c r="M1100" s="101"/>
      <c r="N1100" s="101"/>
      <c r="O1100" s="97"/>
      <c r="P1100" s="97"/>
      <c r="Q1100" s="97"/>
      <c r="R1100" s="97"/>
      <c r="S1100" s="97"/>
      <c r="T1100" s="97"/>
      <c r="U1100" s="97"/>
      <c r="V1100" s="97"/>
      <c r="W1100" s="97"/>
      <c r="X1100" s="97"/>
      <c r="Y1100" s="97"/>
      <c r="Z1100" s="97"/>
      <c r="AA1100" s="97"/>
      <c r="AB1100" s="97"/>
      <c r="AC1100" s="97"/>
      <c r="AD1100" s="97"/>
      <c r="AE1100" s="97"/>
      <c r="AF1100" s="97"/>
      <c r="AG1100" s="97"/>
      <c r="AH1100" s="97"/>
      <c r="AI1100" s="97"/>
      <c r="AJ1100" s="97"/>
      <c r="AK1100" s="97"/>
    </row>
    <row r="1101" spans="2:37" s="102" customFormat="1" x14ac:dyDescent="0.25">
      <c r="B1101" s="116"/>
      <c r="C1101" s="117"/>
      <c r="I1101" s="101"/>
      <c r="J1101" s="101"/>
      <c r="K1101" s="101"/>
      <c r="L1101" s="101"/>
      <c r="M1101" s="101"/>
      <c r="N1101" s="101"/>
      <c r="O1101" s="97"/>
      <c r="P1101" s="97"/>
      <c r="Q1101" s="97"/>
      <c r="R1101" s="97"/>
      <c r="S1101" s="97"/>
      <c r="T1101" s="97"/>
      <c r="U1101" s="97"/>
      <c r="V1101" s="97"/>
      <c r="W1101" s="97"/>
      <c r="X1101" s="97"/>
      <c r="Y1101" s="97"/>
      <c r="Z1101" s="97"/>
      <c r="AA1101" s="97"/>
      <c r="AB1101" s="97"/>
      <c r="AC1101" s="97"/>
      <c r="AD1101" s="97"/>
      <c r="AE1101" s="97"/>
      <c r="AF1101" s="97"/>
      <c r="AG1101" s="97"/>
      <c r="AH1101" s="97"/>
      <c r="AI1101" s="97"/>
      <c r="AJ1101" s="97"/>
      <c r="AK1101" s="97"/>
    </row>
    <row r="1102" spans="2:37" s="102" customFormat="1" x14ac:dyDescent="0.25">
      <c r="B1102" s="116"/>
      <c r="C1102" s="117"/>
      <c r="I1102" s="101"/>
      <c r="J1102" s="101"/>
      <c r="K1102" s="101"/>
      <c r="L1102" s="101"/>
      <c r="M1102" s="101"/>
      <c r="N1102" s="101"/>
      <c r="O1102" s="97"/>
      <c r="P1102" s="97"/>
      <c r="Q1102" s="97"/>
      <c r="R1102" s="97"/>
      <c r="S1102" s="97"/>
      <c r="T1102" s="97"/>
      <c r="U1102" s="97"/>
      <c r="V1102" s="97"/>
      <c r="W1102" s="97"/>
      <c r="X1102" s="97"/>
      <c r="Y1102" s="97"/>
      <c r="Z1102" s="97"/>
      <c r="AA1102" s="97"/>
      <c r="AB1102" s="97"/>
      <c r="AC1102" s="97"/>
      <c r="AD1102" s="97"/>
      <c r="AE1102" s="97"/>
      <c r="AF1102" s="97"/>
      <c r="AG1102" s="97"/>
      <c r="AH1102" s="97"/>
      <c r="AI1102" s="97"/>
      <c r="AJ1102" s="97"/>
      <c r="AK1102" s="97"/>
    </row>
    <row r="1103" spans="2:37" s="102" customFormat="1" x14ac:dyDescent="0.25">
      <c r="B1103" s="116"/>
      <c r="C1103" s="117"/>
      <c r="I1103" s="101"/>
      <c r="J1103" s="101"/>
      <c r="K1103" s="101"/>
      <c r="L1103" s="101"/>
      <c r="M1103" s="101"/>
      <c r="N1103" s="101"/>
      <c r="O1103" s="97"/>
      <c r="P1103" s="97"/>
      <c r="Q1103" s="97"/>
      <c r="R1103" s="97"/>
      <c r="S1103" s="97"/>
      <c r="T1103" s="97"/>
      <c r="U1103" s="97"/>
      <c r="V1103" s="97"/>
      <c r="W1103" s="97"/>
      <c r="X1103" s="97"/>
      <c r="Y1103" s="97"/>
      <c r="Z1103" s="97"/>
      <c r="AA1103" s="97"/>
      <c r="AB1103" s="97"/>
      <c r="AC1103" s="97"/>
      <c r="AD1103" s="97"/>
      <c r="AE1103" s="97"/>
      <c r="AF1103" s="97"/>
      <c r="AG1103" s="97"/>
      <c r="AH1103" s="97"/>
      <c r="AI1103" s="97"/>
      <c r="AJ1103" s="97"/>
      <c r="AK1103" s="97"/>
    </row>
    <row r="1104" spans="2:37" s="102" customFormat="1" x14ac:dyDescent="0.25">
      <c r="B1104" s="116"/>
      <c r="C1104" s="117"/>
      <c r="I1104" s="101"/>
      <c r="J1104" s="101"/>
      <c r="K1104" s="101"/>
      <c r="L1104" s="101"/>
      <c r="M1104" s="101"/>
      <c r="N1104" s="101"/>
      <c r="O1104" s="97"/>
      <c r="P1104" s="97"/>
      <c r="Q1104" s="97"/>
      <c r="R1104" s="97"/>
      <c r="S1104" s="97"/>
      <c r="T1104" s="97"/>
      <c r="U1104" s="97"/>
      <c r="V1104" s="97"/>
      <c r="W1104" s="97"/>
      <c r="X1104" s="97"/>
      <c r="Y1104" s="97"/>
      <c r="Z1104" s="97"/>
      <c r="AA1104" s="97"/>
      <c r="AB1104" s="97"/>
      <c r="AC1104" s="97"/>
      <c r="AD1104" s="97"/>
      <c r="AE1104" s="97"/>
      <c r="AF1104" s="97"/>
      <c r="AG1104" s="97"/>
      <c r="AH1104" s="97"/>
      <c r="AI1104" s="97"/>
      <c r="AJ1104" s="97"/>
      <c r="AK1104" s="97"/>
    </row>
    <row r="1105" spans="2:37" s="102" customFormat="1" x14ac:dyDescent="0.25">
      <c r="B1105" s="116"/>
      <c r="C1105" s="117"/>
      <c r="I1105" s="101"/>
      <c r="J1105" s="101"/>
      <c r="K1105" s="101"/>
      <c r="L1105" s="101"/>
      <c r="M1105" s="101"/>
      <c r="N1105" s="101"/>
      <c r="O1105" s="97"/>
      <c r="P1105" s="97"/>
      <c r="Q1105" s="97"/>
      <c r="R1105" s="97"/>
      <c r="S1105" s="97"/>
      <c r="T1105" s="97"/>
      <c r="U1105" s="97"/>
      <c r="V1105" s="97"/>
      <c r="W1105" s="97"/>
      <c r="X1105" s="97"/>
      <c r="Y1105" s="97"/>
      <c r="Z1105" s="97"/>
      <c r="AA1105" s="97"/>
      <c r="AB1105" s="97"/>
      <c r="AC1105" s="97"/>
      <c r="AD1105" s="97"/>
      <c r="AE1105" s="97"/>
      <c r="AF1105" s="97"/>
      <c r="AG1105" s="97"/>
      <c r="AH1105" s="97"/>
      <c r="AI1105" s="97"/>
      <c r="AJ1105" s="97"/>
      <c r="AK1105" s="97"/>
    </row>
    <row r="1106" spans="2:37" s="102" customFormat="1" x14ac:dyDescent="0.25">
      <c r="B1106" s="116"/>
      <c r="C1106" s="117"/>
      <c r="I1106" s="101"/>
      <c r="J1106" s="101"/>
      <c r="K1106" s="101"/>
      <c r="L1106" s="101"/>
      <c r="M1106" s="101"/>
      <c r="N1106" s="101"/>
      <c r="O1106" s="97"/>
      <c r="P1106" s="97"/>
      <c r="Q1106" s="97"/>
      <c r="R1106" s="97"/>
      <c r="S1106" s="97"/>
      <c r="T1106" s="97"/>
      <c r="U1106" s="97"/>
      <c r="V1106" s="97"/>
      <c r="W1106" s="97"/>
      <c r="X1106" s="97"/>
      <c r="Y1106" s="97"/>
      <c r="Z1106" s="97"/>
      <c r="AA1106" s="97"/>
      <c r="AB1106" s="97"/>
      <c r="AC1106" s="97"/>
      <c r="AD1106" s="97"/>
      <c r="AE1106" s="97"/>
      <c r="AF1106" s="97"/>
      <c r="AG1106" s="97"/>
      <c r="AH1106" s="97"/>
      <c r="AI1106" s="97"/>
      <c r="AJ1106" s="97"/>
      <c r="AK1106" s="97"/>
    </row>
    <row r="1107" spans="2:37" s="102" customFormat="1" x14ac:dyDescent="0.25">
      <c r="B1107" s="116"/>
      <c r="C1107" s="117"/>
      <c r="I1107" s="101"/>
      <c r="J1107" s="101"/>
      <c r="K1107" s="101"/>
      <c r="L1107" s="101"/>
      <c r="M1107" s="101"/>
      <c r="N1107" s="101"/>
      <c r="O1107" s="97"/>
      <c r="P1107" s="97"/>
      <c r="Q1107" s="97"/>
      <c r="R1107" s="97"/>
      <c r="S1107" s="97"/>
      <c r="T1107" s="97"/>
      <c r="U1107" s="97"/>
      <c r="V1107" s="97"/>
      <c r="W1107" s="97"/>
      <c r="X1107" s="97"/>
      <c r="Y1107" s="97"/>
      <c r="Z1107" s="97"/>
      <c r="AA1107" s="97"/>
      <c r="AB1107" s="97"/>
      <c r="AC1107" s="97"/>
      <c r="AD1107" s="97"/>
      <c r="AE1107" s="97"/>
      <c r="AF1107" s="97"/>
      <c r="AG1107" s="97"/>
      <c r="AH1107" s="97"/>
      <c r="AI1107" s="97"/>
      <c r="AJ1107" s="97"/>
      <c r="AK1107" s="97"/>
    </row>
    <row r="1108" spans="2:37" s="102" customFormat="1" x14ac:dyDescent="0.25">
      <c r="B1108" s="116"/>
      <c r="C1108" s="117"/>
      <c r="I1108" s="101"/>
      <c r="J1108" s="101"/>
      <c r="K1108" s="101"/>
      <c r="L1108" s="101"/>
      <c r="M1108" s="101"/>
      <c r="N1108" s="101"/>
      <c r="O1108" s="97"/>
      <c r="P1108" s="97"/>
      <c r="Q1108" s="97"/>
      <c r="R1108" s="97"/>
      <c r="S1108" s="97"/>
      <c r="T1108" s="97"/>
      <c r="U1108" s="97"/>
      <c r="V1108" s="97"/>
      <c r="W1108" s="97"/>
      <c r="X1108" s="97"/>
      <c r="Y1108" s="97"/>
      <c r="Z1108" s="97"/>
      <c r="AA1108" s="97"/>
      <c r="AB1108" s="97"/>
      <c r="AC1108" s="97"/>
      <c r="AD1108" s="97"/>
      <c r="AE1108" s="97"/>
      <c r="AF1108" s="97"/>
      <c r="AG1108" s="97"/>
      <c r="AH1108" s="97"/>
      <c r="AI1108" s="97"/>
      <c r="AJ1108" s="97"/>
      <c r="AK1108" s="97"/>
    </row>
    <row r="1109" spans="2:37" s="102" customFormat="1" x14ac:dyDescent="0.25">
      <c r="B1109" s="116"/>
      <c r="C1109" s="117"/>
      <c r="I1109" s="101"/>
      <c r="J1109" s="101"/>
      <c r="K1109" s="101"/>
      <c r="L1109" s="101"/>
      <c r="M1109" s="101"/>
      <c r="N1109" s="101"/>
      <c r="O1109" s="97"/>
      <c r="P1109" s="97"/>
      <c r="Q1109" s="97"/>
      <c r="R1109" s="97"/>
      <c r="S1109" s="97"/>
      <c r="T1109" s="97"/>
      <c r="U1109" s="97"/>
      <c r="V1109" s="97"/>
      <c r="W1109" s="97"/>
      <c r="X1109" s="97"/>
      <c r="Y1109" s="97"/>
      <c r="Z1109" s="97"/>
      <c r="AA1109" s="97"/>
      <c r="AB1109" s="97"/>
      <c r="AC1109" s="97"/>
      <c r="AD1109" s="97"/>
      <c r="AE1109" s="97"/>
      <c r="AF1109" s="97"/>
      <c r="AG1109" s="97"/>
      <c r="AH1109" s="97"/>
      <c r="AI1109" s="97"/>
      <c r="AJ1109" s="97"/>
      <c r="AK1109" s="97"/>
    </row>
    <row r="1110" spans="2:37" s="102" customFormat="1" x14ac:dyDescent="0.25">
      <c r="B1110" s="116"/>
      <c r="C1110" s="117"/>
      <c r="I1110" s="101"/>
      <c r="J1110" s="101"/>
      <c r="K1110" s="101"/>
      <c r="L1110" s="101"/>
      <c r="M1110" s="101"/>
      <c r="N1110" s="101"/>
      <c r="O1110" s="97"/>
      <c r="P1110" s="97"/>
      <c r="Q1110" s="97"/>
      <c r="R1110" s="97"/>
      <c r="S1110" s="97"/>
      <c r="T1110" s="97"/>
      <c r="U1110" s="97"/>
      <c r="V1110" s="97"/>
      <c r="W1110" s="97"/>
      <c r="X1110" s="97"/>
      <c r="Y1110" s="97"/>
      <c r="Z1110" s="97"/>
      <c r="AA1110" s="97"/>
      <c r="AB1110" s="97"/>
      <c r="AC1110" s="97"/>
      <c r="AD1110" s="97"/>
      <c r="AE1110" s="97"/>
      <c r="AF1110" s="97"/>
      <c r="AG1110" s="97"/>
      <c r="AH1110" s="97"/>
      <c r="AI1110" s="97"/>
      <c r="AJ1110" s="97"/>
      <c r="AK1110" s="97"/>
    </row>
    <row r="1111" spans="2:37" s="103" customFormat="1" x14ac:dyDescent="0.25">
      <c r="B1111" s="104" t="s">
        <v>34</v>
      </c>
      <c r="C1111" s="105" t="s">
        <v>19</v>
      </c>
      <c r="I1111" s="106"/>
      <c r="J1111" s="106"/>
      <c r="K1111" s="106"/>
      <c r="L1111" s="106"/>
      <c r="M1111" s="106"/>
      <c r="N1111" s="106">
        <f>Datasheet!N1179</f>
        <v>462793490</v>
      </c>
      <c r="O1111" s="106">
        <f>Datasheet!O1179</f>
        <v>490743341</v>
      </c>
      <c r="P1111" s="106">
        <f>Datasheet!P1179</f>
        <v>488732400</v>
      </c>
      <c r="Q1111" s="106">
        <f>Datasheet!Q1179</f>
        <v>490718178</v>
      </c>
      <c r="R1111" s="106">
        <f>Datasheet!R1179</f>
        <v>495233183</v>
      </c>
      <c r="S1111" s="106">
        <f>Datasheet!S1179</f>
        <v>476834690</v>
      </c>
      <c r="T1111" s="106">
        <f>Datasheet!T1179</f>
        <v>513432968</v>
      </c>
      <c r="U1111" s="106">
        <f>Datasheet!U1179</f>
        <v>491460908</v>
      </c>
      <c r="V1111" s="106">
        <f>Datasheet!V1179</f>
        <v>472200340</v>
      </c>
      <c r="W1111" s="106">
        <f>Datasheet!W1179</f>
        <v>495687784</v>
      </c>
      <c r="X1111" s="106">
        <f>Datasheet!X1179</f>
        <v>512415019</v>
      </c>
      <c r="Y1111" s="106">
        <f>Datasheet!Y1179</f>
        <v>459728772</v>
      </c>
      <c r="Z1111" s="106">
        <f>Datasheet!Z1179</f>
        <v>421989597</v>
      </c>
      <c r="AA1111" s="106">
        <f>Datasheet!AA1179</f>
        <v>419371453</v>
      </c>
      <c r="AB1111" s="106">
        <f>Datasheet!AB1179</f>
        <v>0</v>
      </c>
      <c r="AC1111" s="106">
        <f>Datasheet!AC1179</f>
        <v>0</v>
      </c>
      <c r="AD1111" s="106">
        <f>Datasheet!AD1179</f>
        <v>0</v>
      </c>
      <c r="AE1111" s="106">
        <f>Datasheet!AE1179</f>
        <v>0</v>
      </c>
      <c r="AF1111" s="106">
        <f>Datasheet!AF1179</f>
        <v>0</v>
      </c>
      <c r="AG1111" s="106">
        <f>Datasheet!AG1179</f>
        <v>0</v>
      </c>
      <c r="AH1111" s="106">
        <f>Datasheet!AH1179</f>
        <v>0</v>
      </c>
      <c r="AI1111" s="106">
        <f>Datasheet!AI1179</f>
        <v>0</v>
      </c>
      <c r="AJ1111" s="106">
        <f>Datasheet!AJ1179</f>
        <v>0</v>
      </c>
      <c r="AK1111" s="106">
        <f>Datasheet!AK1179</f>
        <v>0</v>
      </c>
    </row>
    <row r="1112" spans="2:37" s="97" customFormat="1" x14ac:dyDescent="0.25">
      <c r="D1112" s="97" t="s">
        <v>461</v>
      </c>
      <c r="AK1112" s="97">
        <f>Datasheet!AK1419</f>
        <v>0</v>
      </c>
    </row>
    <row r="1113" spans="2:37" s="97" customFormat="1" x14ac:dyDescent="0.25">
      <c r="E1113" s="97" t="s">
        <v>462</v>
      </c>
      <c r="H1113" s="97" t="s">
        <v>1288</v>
      </c>
      <c r="N1113" s="97">
        <f>SUM(Datasheet!N1186:N1189,Datasheet!N1199:N1202)</f>
        <v>118325501</v>
      </c>
      <c r="O1113" s="97">
        <f>SUM(Datasheet!O1186:O1189,Datasheet!O1199:O1202)</f>
        <v>124692886</v>
      </c>
      <c r="P1113" s="97">
        <f>SUM(Datasheet!P1186:P1189,Datasheet!P1199:P1202)</f>
        <v>121506618</v>
      </c>
      <c r="Q1113" s="97">
        <f>SUM(Datasheet!Q1186:Q1189,Datasheet!Q1199:Q1202)</f>
        <v>123358679</v>
      </c>
      <c r="R1113" s="97">
        <f>SUM(Datasheet!R1186:R1189,Datasheet!R1199:R1202)</f>
        <v>124879849</v>
      </c>
      <c r="S1113" s="97">
        <f>SUM(Datasheet!S1186:S1189,Datasheet!S1199:S1202)</f>
        <v>122015871</v>
      </c>
      <c r="T1113" s="97">
        <f>SUM(Datasheet!T1186:T1189,Datasheet!T1199:T1202)</f>
        <v>121326467</v>
      </c>
      <c r="U1113" s="97">
        <f>SUM(Datasheet!U1186:U1189,Datasheet!U1199:U1202)</f>
        <v>123915131</v>
      </c>
      <c r="V1113" s="97">
        <f>SUM(Datasheet!V1186:V1189,Datasheet!V1199:V1202)</f>
        <v>113752550</v>
      </c>
      <c r="W1113" s="97">
        <f>SUM(Datasheet!W1186:W1189,Datasheet!W1199:W1202)</f>
        <v>117193803</v>
      </c>
      <c r="X1113" s="97">
        <f>SUM(Datasheet!X1186:X1189,Datasheet!X1199:X1202)</f>
        <v>116481487</v>
      </c>
      <c r="Y1113" s="97">
        <f>SUM(Datasheet!Y1186:Y1189,Datasheet!Y1199:Y1202)</f>
        <v>96502390</v>
      </c>
      <c r="Z1113" s="97">
        <f>SUM(Datasheet!Z1186:Z1189,Datasheet!Z1199:Z1202)</f>
        <v>93550263</v>
      </c>
      <c r="AA1113" s="97">
        <f>SUM(Datasheet!AA1186:AA1189,Datasheet!AA1199:AA1202)</f>
        <v>94662068</v>
      </c>
      <c r="AB1113" s="97">
        <f>SUM(Datasheet!AB1186:AB1189,Datasheet!AB1199:AB1202)</f>
        <v>0</v>
      </c>
      <c r="AC1113" s="97">
        <f>SUM(Datasheet!AC1186:AC1189,Datasheet!AC1199:AC1202)</f>
        <v>0</v>
      </c>
      <c r="AD1113" s="97">
        <f>SUM(Datasheet!AD1186:AD1189,Datasheet!AD1199:AD1202)</f>
        <v>0</v>
      </c>
      <c r="AE1113" s="97">
        <f>SUM(Datasheet!AE1186:AE1189,Datasheet!AE1199:AE1202)</f>
        <v>0</v>
      </c>
      <c r="AF1113" s="97">
        <f>SUM(Datasheet!AF1186:AF1189,Datasheet!AF1199:AF1202)</f>
        <v>0</v>
      </c>
      <c r="AG1113" s="97">
        <f>SUM(Datasheet!AG1186:AG1189,Datasheet!AG1199:AG1202)</f>
        <v>0</v>
      </c>
      <c r="AH1113" s="97">
        <f>SUM(Datasheet!AH1186:AH1189,Datasheet!AH1199:AH1202)</f>
        <v>0</v>
      </c>
      <c r="AI1113" s="97">
        <f>SUM(Datasheet!AI1186:AI1189,Datasheet!AI1199:AI1202)</f>
        <v>0</v>
      </c>
      <c r="AJ1113" s="97">
        <f>SUM(Datasheet!AJ1186:AJ1189,Datasheet!AJ1199:AJ1202)</f>
        <v>0</v>
      </c>
      <c r="AK1113" s="97">
        <f>SUM(Datasheet!AK1186:AK1189,Datasheet!AK1199:AK1202)</f>
        <v>0</v>
      </c>
    </row>
    <row r="1114" spans="2:37" s="102" customFormat="1" x14ac:dyDescent="0.25">
      <c r="B1114" s="116"/>
      <c r="C1114" s="117"/>
      <c r="E1114" s="102" t="s">
        <v>463</v>
      </c>
      <c r="H1114" s="102" t="s">
        <v>1288</v>
      </c>
      <c r="I1114" s="101"/>
      <c r="J1114" s="101"/>
      <c r="K1114" s="101"/>
      <c r="L1114" s="101"/>
      <c r="M1114" s="101"/>
      <c r="N1114" s="97">
        <f>SUM(Datasheet!N1181:N1183,Datasheet!N1192,Datasheet!N1194:N1196,Datasheet!N1205)</f>
        <v>213052743</v>
      </c>
      <c r="O1114" s="97">
        <f>SUM(Datasheet!O1181:O1183,Datasheet!O1192,Datasheet!O1194:O1196,Datasheet!O1205)</f>
        <v>216896347</v>
      </c>
      <c r="P1114" s="97">
        <f>SUM(Datasheet!P1181:P1183,Datasheet!P1192,Datasheet!P1194:P1196,Datasheet!P1205)</f>
        <v>220233952</v>
      </c>
      <c r="Q1114" s="97">
        <f>SUM(Datasheet!Q1181:Q1183,Datasheet!Q1192,Datasheet!Q1194:Q1196,Datasheet!Q1205)</f>
        <v>222479957</v>
      </c>
      <c r="R1114" s="97">
        <f>SUM(Datasheet!R1181:R1183,Datasheet!R1192,Datasheet!R1194:R1196,Datasheet!R1205)</f>
        <v>225333397</v>
      </c>
      <c r="S1114" s="97">
        <f>SUM(Datasheet!S1181:S1183,Datasheet!S1192,Datasheet!S1194:S1196,Datasheet!S1205)</f>
        <v>222011372</v>
      </c>
      <c r="T1114" s="97">
        <f>SUM(Datasheet!T1181:T1183,Datasheet!T1192,Datasheet!T1194:T1196,Datasheet!T1205)</f>
        <v>237687629</v>
      </c>
      <c r="U1114" s="97">
        <f>SUM(Datasheet!U1181:U1183,Datasheet!U1192,Datasheet!U1194:U1196,Datasheet!U1205)</f>
        <v>222945392</v>
      </c>
      <c r="V1114" s="97">
        <f>SUM(Datasheet!V1181:V1183,Datasheet!V1192,Datasheet!V1194:V1196,Datasheet!V1205)</f>
        <v>225150366</v>
      </c>
      <c r="W1114" s="97">
        <f>SUM(Datasheet!W1181:W1183,Datasheet!W1192,Datasheet!W1194:W1196,Datasheet!W1205)</f>
        <v>239879155</v>
      </c>
      <c r="X1114" s="97">
        <f>SUM(Datasheet!X1181:X1183,Datasheet!X1192,Datasheet!X1194:X1196,Datasheet!X1205)</f>
        <v>242089691</v>
      </c>
      <c r="Y1114" s="97">
        <f>SUM(Datasheet!Y1181:Y1183,Datasheet!Y1192,Datasheet!Y1194:Y1196,Datasheet!Y1205)</f>
        <v>227487620</v>
      </c>
      <c r="Z1114" s="97">
        <f>SUM(Datasheet!Z1181:Z1183,Datasheet!Z1192,Datasheet!Z1194:Z1196,Datasheet!Z1205)</f>
        <v>197821330</v>
      </c>
      <c r="AA1114" s="97">
        <f>SUM(Datasheet!AA1181:AA1183,Datasheet!AA1192,Datasheet!AA1194:AA1196,Datasheet!AA1205)</f>
        <v>201639102</v>
      </c>
      <c r="AB1114" s="97">
        <f>SUM(Datasheet!AB1181:AB1183,Datasheet!AB1192,Datasheet!AB1194:AB1196,Datasheet!AB1205)</f>
        <v>0</v>
      </c>
      <c r="AC1114" s="97">
        <f>SUM(Datasheet!AC1181:AC1183,Datasheet!AC1192,Datasheet!AC1194:AC1196,Datasheet!AC1205)</f>
        <v>0</v>
      </c>
      <c r="AD1114" s="97">
        <f>SUM(Datasheet!AD1181:AD1183,Datasheet!AD1192,Datasheet!AD1194:AD1196,Datasheet!AD1205)</f>
        <v>0</v>
      </c>
      <c r="AE1114" s="97">
        <f>SUM(Datasheet!AE1181:AE1183,Datasheet!AE1192,Datasheet!AE1194:AE1196,Datasheet!AE1205)</f>
        <v>0</v>
      </c>
      <c r="AF1114" s="97">
        <f>SUM(Datasheet!AF1181:AF1183,Datasheet!AF1192,Datasheet!AF1194:AF1196,Datasheet!AF1205)</f>
        <v>0</v>
      </c>
      <c r="AG1114" s="97">
        <f>SUM(Datasheet!AG1181:AG1183,Datasheet!AG1192,Datasheet!AG1194:AG1196,Datasheet!AG1205)</f>
        <v>0</v>
      </c>
      <c r="AH1114" s="97">
        <f>SUM(Datasheet!AH1181:AH1183,Datasheet!AH1192,Datasheet!AH1194:AH1196,Datasheet!AH1205)</f>
        <v>0</v>
      </c>
      <c r="AI1114" s="97">
        <f>SUM(Datasheet!AI1181:AI1183,Datasheet!AI1192,Datasheet!AI1194:AI1196,Datasheet!AI1205)</f>
        <v>0</v>
      </c>
      <c r="AJ1114" s="97">
        <f>SUM(Datasheet!AJ1181:AJ1183,Datasheet!AJ1192,Datasheet!AJ1194:AJ1196,Datasheet!AJ1205)</f>
        <v>0</v>
      </c>
      <c r="AK1114" s="97">
        <f>SUM(Datasheet!AK1181:AK1183,Datasheet!AK1192,Datasheet!AK1194:AK1196,Datasheet!AK1205)</f>
        <v>0</v>
      </c>
    </row>
    <row r="1115" spans="2:37" s="102" customFormat="1" x14ac:dyDescent="0.25">
      <c r="B1115" s="116"/>
      <c r="C1115" s="117"/>
      <c r="E1115" s="102" t="s">
        <v>464</v>
      </c>
      <c r="H1115" s="102" t="s">
        <v>1288</v>
      </c>
      <c r="I1115" s="101"/>
      <c r="J1115" s="101"/>
      <c r="K1115" s="101"/>
      <c r="L1115" s="101"/>
      <c r="M1115" s="101"/>
      <c r="N1115" s="97">
        <f>SUM(Datasheet!N1184:N1185,Datasheet!N1190:N1191,Datasheet!N1197:N1198,Datasheet!N1203:N1204)</f>
        <v>131415246</v>
      </c>
      <c r="O1115" s="97">
        <f>SUM(Datasheet!O1184:O1185,Datasheet!O1190:O1191,Datasheet!O1197:O1198,Datasheet!O1203:O1204)</f>
        <v>149154108</v>
      </c>
      <c r="P1115" s="97">
        <f>SUM(Datasheet!P1184:P1185,Datasheet!P1190:P1191,Datasheet!P1197:P1198,Datasheet!P1203:P1204)</f>
        <v>146991830</v>
      </c>
      <c r="Q1115" s="97">
        <f>SUM(Datasheet!Q1184:Q1185,Datasheet!Q1190:Q1191,Datasheet!Q1197:Q1198,Datasheet!Q1203:Q1204)</f>
        <v>144879542</v>
      </c>
      <c r="R1115" s="97">
        <f>SUM(Datasheet!R1184:R1185,Datasheet!R1190:R1191,Datasheet!R1197:R1198,Datasheet!R1203:R1204)</f>
        <v>145019937</v>
      </c>
      <c r="S1115" s="97">
        <f>SUM(Datasheet!S1184:S1185,Datasheet!S1190:S1191,Datasheet!S1197:S1198,Datasheet!S1203:S1204)</f>
        <v>132807447</v>
      </c>
      <c r="T1115" s="97">
        <f>SUM(Datasheet!T1184:T1185,Datasheet!T1190:T1191,Datasheet!T1197:T1198,Datasheet!T1203:T1204)</f>
        <v>154418872</v>
      </c>
      <c r="U1115" s="97">
        <f>SUM(Datasheet!U1184:U1185,Datasheet!U1190:U1191,Datasheet!U1197:U1198,Datasheet!U1203:U1204)</f>
        <v>144600385</v>
      </c>
      <c r="V1115" s="97">
        <f>SUM(Datasheet!V1184:V1185,Datasheet!V1190:V1191,Datasheet!V1197:V1198,Datasheet!V1203:V1204)</f>
        <v>133297424</v>
      </c>
      <c r="W1115" s="97">
        <f>SUM(Datasheet!W1184:W1185,Datasheet!W1190:W1191,Datasheet!W1197:W1198,Datasheet!W1203:W1204)</f>
        <v>138614826</v>
      </c>
      <c r="X1115" s="97">
        <f>SUM(Datasheet!X1184:X1185,Datasheet!X1190:X1191,Datasheet!X1197:X1198,Datasheet!X1203:X1204)</f>
        <v>153843841</v>
      </c>
      <c r="Y1115" s="97">
        <f>SUM(Datasheet!Y1184:Y1185,Datasheet!Y1190:Y1191,Datasheet!Y1197:Y1198,Datasheet!Y1203:Y1204)</f>
        <v>135738762</v>
      </c>
      <c r="Z1115" s="97">
        <f>SUM(Datasheet!Z1184:Z1185,Datasheet!Z1190:Z1191,Datasheet!Z1197:Z1198,Datasheet!Z1203:Z1204)</f>
        <v>130618004</v>
      </c>
      <c r="AA1115" s="97">
        <f>SUM(Datasheet!AA1184:AA1185,Datasheet!AA1190:AA1191,Datasheet!AA1197:AA1198,Datasheet!AA1203:AA1204)</f>
        <v>123070283</v>
      </c>
      <c r="AB1115" s="97">
        <f>SUM(Datasheet!AB1184:AB1185,Datasheet!AB1190:AB1191,Datasheet!AB1197:AB1198,Datasheet!AB1203:AB1204)</f>
        <v>0</v>
      </c>
      <c r="AC1115" s="97">
        <f>SUM(Datasheet!AC1184:AC1185,Datasheet!AC1190:AC1191,Datasheet!AC1197:AC1198,Datasheet!AC1203:AC1204)</f>
        <v>0</v>
      </c>
      <c r="AD1115" s="97">
        <f>SUM(Datasheet!AD1184:AD1185,Datasheet!AD1190:AD1191,Datasheet!AD1197:AD1198,Datasheet!AD1203:AD1204)</f>
        <v>0</v>
      </c>
      <c r="AE1115" s="97">
        <f>SUM(Datasheet!AE1184:AE1185,Datasheet!AE1190:AE1191,Datasheet!AE1197:AE1198,Datasheet!AE1203:AE1204)</f>
        <v>0</v>
      </c>
      <c r="AF1115" s="97">
        <f>SUM(Datasheet!AF1184:AF1185,Datasheet!AF1190:AF1191,Datasheet!AF1197:AF1198,Datasheet!AF1203:AF1204)</f>
        <v>0</v>
      </c>
      <c r="AG1115" s="97">
        <f>SUM(Datasheet!AG1184:AG1185,Datasheet!AG1190:AG1191,Datasheet!AG1197:AG1198,Datasheet!AG1203:AG1204)</f>
        <v>0</v>
      </c>
      <c r="AH1115" s="97">
        <f>SUM(Datasheet!AH1184:AH1185,Datasheet!AH1190:AH1191,Datasheet!AH1197:AH1198,Datasheet!AH1203:AH1204)</f>
        <v>0</v>
      </c>
      <c r="AI1115" s="97">
        <f>SUM(Datasheet!AI1184:AI1185,Datasheet!AI1190:AI1191,Datasheet!AI1197:AI1198,Datasheet!AI1203:AI1204)</f>
        <v>0</v>
      </c>
      <c r="AJ1115" s="97">
        <f>SUM(Datasheet!AJ1184:AJ1185,Datasheet!AJ1190:AJ1191,Datasheet!AJ1197:AJ1198,Datasheet!AJ1203:AJ1204)</f>
        <v>0</v>
      </c>
      <c r="AK1115" s="97">
        <f>SUM(Datasheet!AK1184:AK1185,Datasheet!AK1190:AK1191,Datasheet!AK1197:AK1198,Datasheet!AK1203:AK1204)</f>
        <v>0</v>
      </c>
    </row>
    <row r="1116" spans="2:37" s="102" customFormat="1" x14ac:dyDescent="0.25">
      <c r="B1116" s="116"/>
      <c r="C1116" s="117"/>
      <c r="D1116" s="102" t="s">
        <v>465</v>
      </c>
      <c r="I1116" s="101"/>
      <c r="J1116" s="101"/>
      <c r="K1116" s="101"/>
      <c r="L1116" s="101"/>
      <c r="M1116" s="101"/>
      <c r="N1116" s="101"/>
      <c r="O1116" s="101"/>
      <c r="P1116" s="101"/>
      <c r="Q1116" s="101"/>
      <c r="R1116" s="101"/>
      <c r="S1116" s="101"/>
      <c r="T1116" s="101"/>
      <c r="U1116" s="101"/>
      <c r="V1116" s="101"/>
      <c r="W1116" s="101"/>
      <c r="X1116" s="101"/>
      <c r="Y1116" s="101"/>
      <c r="Z1116" s="101"/>
      <c r="AA1116" s="101"/>
      <c r="AB1116" s="101"/>
      <c r="AC1116" s="101"/>
      <c r="AD1116" s="101"/>
      <c r="AE1116" s="101"/>
      <c r="AF1116" s="101"/>
      <c r="AG1116" s="101"/>
      <c r="AH1116" s="101"/>
      <c r="AI1116" s="101"/>
      <c r="AJ1116" s="101"/>
      <c r="AK1116" s="101"/>
    </row>
    <row r="1117" spans="2:37" s="102" customFormat="1" x14ac:dyDescent="0.25">
      <c r="B1117" s="116"/>
      <c r="C1117" s="117"/>
      <c r="E1117" s="97" t="s">
        <v>462</v>
      </c>
      <c r="H1117" s="102" t="s">
        <v>1412</v>
      </c>
      <c r="I1117" s="101"/>
      <c r="J1117" s="101"/>
      <c r="K1117" s="101"/>
      <c r="L1117" s="101"/>
      <c r="M1117" s="101"/>
      <c r="N1117" s="101"/>
      <c r="O1117" s="97"/>
      <c r="P1117" s="97"/>
      <c r="Q1117" s="97">
        <f t="shared" ref="Q1117:AK1117" si="166">Q1113/Q1307</f>
        <v>2000.1940907108365</v>
      </c>
      <c r="R1117" s="97">
        <f t="shared" si="166"/>
        <v>2039.8410676796389</v>
      </c>
      <c r="S1117" s="97">
        <f t="shared" si="166"/>
        <v>1950.4426277322787</v>
      </c>
      <c r="T1117" s="97">
        <f t="shared" si="166"/>
        <v>1920.2917253525254</v>
      </c>
      <c r="U1117" s="97">
        <f t="shared" si="166"/>
        <v>1895.0146406929173</v>
      </c>
      <c r="V1117" s="97">
        <f t="shared" si="166"/>
        <v>1695.7239782886084</v>
      </c>
      <c r="W1117" s="97">
        <f t="shared" si="166"/>
        <v>1717.7139730860542</v>
      </c>
      <c r="X1117" s="97">
        <f t="shared" si="166"/>
        <v>1678.3131529003583</v>
      </c>
      <c r="Y1117" s="97">
        <f t="shared" si="166"/>
        <v>1418.3192146956324</v>
      </c>
      <c r="Z1117" s="97">
        <f t="shared" si="166"/>
        <v>1359.2318405331193</v>
      </c>
      <c r="AA1117" s="97" t="e">
        <f t="shared" si="166"/>
        <v>#DIV/0!</v>
      </c>
      <c r="AB1117" s="97" t="e">
        <f t="shared" si="166"/>
        <v>#DIV/0!</v>
      </c>
      <c r="AC1117" s="97" t="e">
        <f t="shared" si="166"/>
        <v>#DIV/0!</v>
      </c>
      <c r="AD1117" s="97" t="e">
        <f t="shared" si="166"/>
        <v>#DIV/0!</v>
      </c>
      <c r="AE1117" s="97" t="e">
        <f t="shared" si="166"/>
        <v>#DIV/0!</v>
      </c>
      <c r="AF1117" s="97" t="e">
        <f t="shared" si="166"/>
        <v>#DIV/0!</v>
      </c>
      <c r="AG1117" s="97" t="e">
        <f t="shared" si="166"/>
        <v>#DIV/0!</v>
      </c>
      <c r="AH1117" s="97" t="e">
        <f t="shared" si="166"/>
        <v>#DIV/0!</v>
      </c>
      <c r="AI1117" s="97" t="e">
        <f t="shared" si="166"/>
        <v>#DIV/0!</v>
      </c>
      <c r="AJ1117" s="97" t="e">
        <f t="shared" si="166"/>
        <v>#DIV/0!</v>
      </c>
      <c r="AK1117" s="97" t="e">
        <f t="shared" si="166"/>
        <v>#DIV/0!</v>
      </c>
    </row>
    <row r="1118" spans="2:37" s="102" customFormat="1" x14ac:dyDescent="0.25">
      <c r="B1118" s="116"/>
      <c r="C1118" s="117"/>
      <c r="E1118" s="102" t="s">
        <v>463</v>
      </c>
      <c r="H1118" s="102" t="s">
        <v>1412</v>
      </c>
      <c r="I1118" s="101"/>
      <c r="J1118" s="101"/>
      <c r="K1118" s="101"/>
      <c r="L1118" s="101"/>
      <c r="M1118" s="101"/>
      <c r="N1118" s="101"/>
      <c r="O1118" s="97"/>
      <c r="P1118" s="97"/>
      <c r="Q1118" s="97">
        <f t="shared" ref="Q1118:AK1118" si="167">Q1114/Q1313</f>
        <v>5595.5178464916135</v>
      </c>
      <c r="R1118" s="97">
        <f t="shared" si="167"/>
        <v>5689.1028826906304</v>
      </c>
      <c r="S1118" s="97">
        <f t="shared" si="167"/>
        <v>5367.2428452713611</v>
      </c>
      <c r="T1118" s="97">
        <f t="shared" si="167"/>
        <v>5562.2293334515243</v>
      </c>
      <c r="U1118" s="97">
        <f t="shared" si="167"/>
        <v>4901.9805545791578</v>
      </c>
      <c r="V1118" s="97">
        <f t="shared" si="167"/>
        <v>4917.6658561745253</v>
      </c>
      <c r="W1118" s="97">
        <f t="shared" si="167"/>
        <v>5084.9799783511435</v>
      </c>
      <c r="X1118" s="97">
        <f t="shared" si="167"/>
        <v>5038.5885788750229</v>
      </c>
      <c r="Y1118" s="97">
        <f t="shared" si="167"/>
        <v>4670.3133146202499</v>
      </c>
      <c r="Z1118" s="97">
        <f t="shared" si="167"/>
        <v>3896.9966504506847</v>
      </c>
      <c r="AA1118" s="97" t="e">
        <f t="shared" si="167"/>
        <v>#DIV/0!</v>
      </c>
      <c r="AB1118" s="97" t="e">
        <f t="shared" si="167"/>
        <v>#DIV/0!</v>
      </c>
      <c r="AC1118" s="97" t="e">
        <f t="shared" si="167"/>
        <v>#DIV/0!</v>
      </c>
      <c r="AD1118" s="97" t="e">
        <f t="shared" si="167"/>
        <v>#DIV/0!</v>
      </c>
      <c r="AE1118" s="97" t="e">
        <f t="shared" si="167"/>
        <v>#DIV/0!</v>
      </c>
      <c r="AF1118" s="97" t="e">
        <f t="shared" si="167"/>
        <v>#DIV/0!</v>
      </c>
      <c r="AG1118" s="97" t="e">
        <f t="shared" si="167"/>
        <v>#DIV/0!</v>
      </c>
      <c r="AH1118" s="97" t="e">
        <f t="shared" si="167"/>
        <v>#DIV/0!</v>
      </c>
      <c r="AI1118" s="97" t="e">
        <f t="shared" si="167"/>
        <v>#DIV/0!</v>
      </c>
      <c r="AJ1118" s="97" t="e">
        <f t="shared" si="167"/>
        <v>#DIV/0!</v>
      </c>
      <c r="AK1118" s="97" t="e">
        <f t="shared" si="167"/>
        <v>#DIV/0!</v>
      </c>
    </row>
    <row r="1119" spans="2:37" s="102" customFormat="1" x14ac:dyDescent="0.25">
      <c r="B1119" s="116"/>
      <c r="C1119" s="117"/>
      <c r="E1119" s="102" t="s">
        <v>464</v>
      </c>
      <c r="H1119" s="102" t="s">
        <v>1412</v>
      </c>
      <c r="I1119" s="101"/>
      <c r="J1119" s="101"/>
      <c r="K1119" s="101"/>
      <c r="L1119" s="101"/>
      <c r="M1119" s="101"/>
      <c r="N1119" s="101"/>
      <c r="O1119" s="97"/>
      <c r="P1119" s="97"/>
      <c r="Q1119" s="97">
        <f t="shared" ref="Q1119:AK1119" si="168">Q1115/Q1319</f>
        <v>4096.9359683719395</v>
      </c>
      <c r="R1119" s="97">
        <f t="shared" si="168"/>
        <v>4159.3204847540619</v>
      </c>
      <c r="S1119" s="97">
        <f t="shared" si="168"/>
        <v>3588.8043672039807</v>
      </c>
      <c r="T1119" s="97">
        <f t="shared" si="168"/>
        <v>4181.2740821531697</v>
      </c>
      <c r="U1119" s="97">
        <f t="shared" si="168"/>
        <v>3689.213358465825</v>
      </c>
      <c r="V1119" s="97">
        <f t="shared" si="168"/>
        <v>3312.1925229624758</v>
      </c>
      <c r="W1119" s="97">
        <f t="shared" si="168"/>
        <v>3325.7706119614954</v>
      </c>
      <c r="X1119" s="97">
        <f t="shared" si="168"/>
        <v>3632.2991013297055</v>
      </c>
      <c r="Y1119" s="97">
        <f t="shared" si="168"/>
        <v>3158.9991744353365</v>
      </c>
      <c r="Z1119" s="97">
        <f t="shared" si="168"/>
        <v>2971.6971669432833</v>
      </c>
      <c r="AA1119" s="97" t="e">
        <f t="shared" si="168"/>
        <v>#DIV/0!</v>
      </c>
      <c r="AB1119" s="97" t="e">
        <f t="shared" si="168"/>
        <v>#DIV/0!</v>
      </c>
      <c r="AC1119" s="97" t="e">
        <f t="shared" si="168"/>
        <v>#DIV/0!</v>
      </c>
      <c r="AD1119" s="97" t="e">
        <f t="shared" si="168"/>
        <v>#DIV/0!</v>
      </c>
      <c r="AE1119" s="97" t="e">
        <f t="shared" si="168"/>
        <v>#DIV/0!</v>
      </c>
      <c r="AF1119" s="97" t="e">
        <f t="shared" si="168"/>
        <v>#DIV/0!</v>
      </c>
      <c r="AG1119" s="97" t="e">
        <f t="shared" si="168"/>
        <v>#DIV/0!</v>
      </c>
      <c r="AH1119" s="97" t="e">
        <f t="shared" si="168"/>
        <v>#DIV/0!</v>
      </c>
      <c r="AI1119" s="97" t="e">
        <f t="shared" si="168"/>
        <v>#DIV/0!</v>
      </c>
      <c r="AJ1119" s="97" t="e">
        <f t="shared" si="168"/>
        <v>#DIV/0!</v>
      </c>
      <c r="AK1119" s="97" t="e">
        <f t="shared" si="168"/>
        <v>#DIV/0!</v>
      </c>
    </row>
    <row r="1120" spans="2:37" s="250" customFormat="1" x14ac:dyDescent="0.25">
      <c r="B1120" s="251"/>
      <c r="C1120" s="252"/>
      <c r="I1120" s="253"/>
      <c r="J1120" s="253"/>
      <c r="K1120" s="253"/>
      <c r="L1120" s="253"/>
      <c r="M1120" s="253"/>
      <c r="N1120" s="253"/>
      <c r="O1120" s="254"/>
      <c r="P1120" s="254"/>
      <c r="Q1120" s="254"/>
      <c r="R1120" s="254"/>
      <c r="S1120" s="254"/>
      <c r="T1120" s="254"/>
      <c r="U1120" s="254"/>
      <c r="V1120" s="254"/>
      <c r="W1120" s="254"/>
      <c r="X1120" s="254"/>
      <c r="Y1120" s="254"/>
      <c r="Z1120" s="254"/>
      <c r="AA1120" s="254"/>
      <c r="AB1120" s="254"/>
      <c r="AC1120" s="254"/>
      <c r="AD1120" s="254"/>
      <c r="AE1120" s="254"/>
      <c r="AF1120" s="254"/>
      <c r="AG1120" s="254"/>
      <c r="AH1120" s="254"/>
      <c r="AI1120" s="254"/>
      <c r="AJ1120" s="254"/>
      <c r="AK1120" s="254"/>
    </row>
    <row r="1121" spans="1:37" s="81" customFormat="1" ht="17.25" x14ac:dyDescent="0.3">
      <c r="A1121" s="81" t="s">
        <v>5</v>
      </c>
    </row>
    <row r="1122" spans="1:37" s="223" customFormat="1" x14ac:dyDescent="0.25">
      <c r="B1122" s="64" t="s">
        <v>33</v>
      </c>
      <c r="C1122" s="223" t="s">
        <v>460</v>
      </c>
    </row>
    <row r="1123" spans="1:37" s="223" customFormat="1" x14ac:dyDescent="0.25">
      <c r="B1123" s="64"/>
      <c r="D1123" s="223" t="s">
        <v>1437</v>
      </c>
    </row>
    <row r="1124" spans="1:37" s="223" customFormat="1" x14ac:dyDescent="0.25">
      <c r="B1124" s="64" t="s">
        <v>420</v>
      </c>
      <c r="C1124" s="223" t="s">
        <v>1438</v>
      </c>
    </row>
    <row r="1125" spans="1:37" s="223" customFormat="1" x14ac:dyDescent="0.25">
      <c r="B1125" s="64" t="s">
        <v>429</v>
      </c>
      <c r="C1125" s="268" t="s">
        <v>5</v>
      </c>
    </row>
    <row r="1126" spans="1:37" s="223" customFormat="1" x14ac:dyDescent="0.25">
      <c r="B1126" s="64" t="s">
        <v>421</v>
      </c>
      <c r="C1126" s="223" t="s">
        <v>1440</v>
      </c>
    </row>
    <row r="1127" spans="1:37" s="223" customFormat="1" x14ac:dyDescent="0.25">
      <c r="B1127" s="64" t="s">
        <v>425</v>
      </c>
      <c r="C1127" s="223" t="s">
        <v>1449</v>
      </c>
    </row>
    <row r="1128" spans="1:37" s="83" customFormat="1" ht="15.75" thickBot="1" x14ac:dyDescent="0.3">
      <c r="B1128" s="84" t="s">
        <v>334</v>
      </c>
    </row>
    <row r="1129" spans="1:37" s="5" customFormat="1" ht="15.75" thickTop="1" x14ac:dyDescent="0.25">
      <c r="B1129" s="66" t="s">
        <v>34</v>
      </c>
      <c r="C1129" s="109" t="s">
        <v>1443</v>
      </c>
      <c r="D1129" s="109"/>
      <c r="E1129" s="109"/>
      <c r="F1129" s="109"/>
      <c r="G1129" s="109"/>
      <c r="H1129" s="109"/>
      <c r="I1129" s="136"/>
      <c r="J1129" s="136"/>
      <c r="K1129" s="136"/>
      <c r="L1129" s="136"/>
      <c r="M1129" s="136"/>
      <c r="N1129" s="136"/>
      <c r="O1129" s="136"/>
      <c r="P1129" s="136"/>
      <c r="Q1129" s="136"/>
      <c r="R1129" s="136"/>
      <c r="S1129" s="136"/>
      <c r="T1129" s="136"/>
      <c r="U1129" s="136"/>
      <c r="V1129" s="136"/>
      <c r="W1129" s="136"/>
      <c r="X1129" s="136"/>
      <c r="Y1129" s="136"/>
      <c r="Z1129" s="136"/>
      <c r="AA1129" s="136"/>
      <c r="AB1129" s="136"/>
      <c r="AC1129" s="136"/>
      <c r="AD1129" s="136"/>
      <c r="AE1129" s="136"/>
      <c r="AF1129" s="136"/>
      <c r="AG1129" s="136"/>
      <c r="AH1129" s="136"/>
      <c r="AI1129" s="136"/>
      <c r="AJ1129" s="136"/>
      <c r="AK1129" s="136"/>
    </row>
    <row r="1130" spans="1:37" s="5" customFormat="1" x14ac:dyDescent="0.25">
      <c r="B1130" s="125"/>
      <c r="C1130" s="124"/>
      <c r="D1130" s="124" t="s">
        <v>1441</v>
      </c>
      <c r="E1130" s="124"/>
      <c r="F1130" s="124"/>
      <c r="G1130" s="124"/>
      <c r="H1130" s="124"/>
      <c r="I1130" s="127"/>
      <c r="J1130" s="127"/>
      <c r="K1130" s="127"/>
      <c r="L1130" s="127"/>
      <c r="M1130" s="127"/>
      <c r="N1130" s="127"/>
      <c r="O1130" s="127"/>
      <c r="P1130" s="127"/>
      <c r="Q1130" s="127"/>
      <c r="R1130" s="127"/>
      <c r="S1130" s="127"/>
      <c r="T1130" s="127"/>
      <c r="U1130" s="127"/>
      <c r="V1130" s="127"/>
      <c r="W1130" s="127"/>
      <c r="X1130" s="127"/>
      <c r="Y1130" s="127"/>
      <c r="Z1130" s="127"/>
      <c r="AA1130" s="127"/>
      <c r="AB1130" s="127"/>
      <c r="AC1130" s="127"/>
      <c r="AD1130" s="127"/>
      <c r="AE1130" s="127"/>
      <c r="AF1130" s="127"/>
      <c r="AG1130" s="127"/>
      <c r="AH1130" s="127"/>
      <c r="AI1130" s="127"/>
      <c r="AJ1130" s="127"/>
      <c r="AK1130" s="127"/>
    </row>
    <row r="1131" spans="1:37" s="5" customFormat="1" x14ac:dyDescent="0.25">
      <c r="B1131" s="125"/>
      <c r="C1131" s="124"/>
      <c r="D1131" s="124"/>
      <c r="E1131" s="124"/>
      <c r="F1131" s="124" t="s">
        <v>1442</v>
      </c>
      <c r="G1131" s="124"/>
      <c r="H1131" s="124" t="s">
        <v>1017</v>
      </c>
      <c r="I1131" s="127">
        <f>SUM(I1136,I1141,I1146,I1151,I1156,I1161,I1166)</f>
        <v>154535</v>
      </c>
      <c r="J1131" s="127">
        <f t="shared" ref="J1131:AK1131" si="169">SUM(J1136,J1141,J1146,J1151,J1156,J1161,J1166)</f>
        <v>188026</v>
      </c>
      <c r="K1131" s="127">
        <f t="shared" si="169"/>
        <v>201252</v>
      </c>
      <c r="L1131" s="127">
        <f t="shared" si="169"/>
        <v>128319</v>
      </c>
      <c r="M1131" s="127">
        <f t="shared" si="169"/>
        <v>260836</v>
      </c>
      <c r="N1131" s="127">
        <f t="shared" si="169"/>
        <v>349728</v>
      </c>
      <c r="O1131" s="127">
        <f t="shared" si="169"/>
        <v>79794</v>
      </c>
      <c r="P1131" s="127">
        <f t="shared" si="169"/>
        <v>184790</v>
      </c>
      <c r="Q1131" s="127">
        <f t="shared" si="169"/>
        <v>77912</v>
      </c>
      <c r="R1131" s="127">
        <f t="shared" si="169"/>
        <v>66964</v>
      </c>
      <c r="S1131" s="127">
        <f t="shared" si="169"/>
        <v>56515</v>
      </c>
      <c r="T1131" s="127">
        <f t="shared" si="169"/>
        <v>45081</v>
      </c>
      <c r="U1131" s="127">
        <f t="shared" si="169"/>
        <v>118924</v>
      </c>
      <c r="V1131" s="127">
        <f t="shared" si="169"/>
        <v>53226</v>
      </c>
      <c r="W1131" s="127">
        <f t="shared" si="169"/>
        <v>53593</v>
      </c>
      <c r="X1131" s="127">
        <f t="shared" si="169"/>
        <v>49753</v>
      </c>
      <c r="Y1131" s="127">
        <f t="shared" si="169"/>
        <v>102756</v>
      </c>
      <c r="Z1131" s="127">
        <f t="shared" si="169"/>
        <v>118212</v>
      </c>
      <c r="AA1131" s="127">
        <f t="shared" si="169"/>
        <v>69628</v>
      </c>
      <c r="AB1131" s="127">
        <f t="shared" si="169"/>
        <v>0</v>
      </c>
      <c r="AC1131" s="127">
        <f t="shared" si="169"/>
        <v>0</v>
      </c>
      <c r="AD1131" s="127">
        <f t="shared" si="169"/>
        <v>0</v>
      </c>
      <c r="AE1131" s="127">
        <f t="shared" si="169"/>
        <v>0</v>
      </c>
      <c r="AF1131" s="127">
        <f t="shared" si="169"/>
        <v>0</v>
      </c>
      <c r="AG1131" s="127">
        <f t="shared" si="169"/>
        <v>0</v>
      </c>
      <c r="AH1131" s="127">
        <f t="shared" si="169"/>
        <v>0</v>
      </c>
      <c r="AI1131" s="127">
        <f t="shared" si="169"/>
        <v>0</v>
      </c>
      <c r="AJ1131" s="127">
        <f t="shared" si="169"/>
        <v>0</v>
      </c>
      <c r="AK1131" s="127">
        <f t="shared" si="169"/>
        <v>0</v>
      </c>
    </row>
    <row r="1132" spans="1:37" s="5" customFormat="1" x14ac:dyDescent="0.25">
      <c r="B1132" s="125"/>
      <c r="C1132" s="124"/>
      <c r="D1132" s="124"/>
      <c r="E1132" s="124"/>
      <c r="F1132" s="124" t="s">
        <v>1444</v>
      </c>
      <c r="G1132" s="124"/>
      <c r="H1132" s="124" t="s">
        <v>1017</v>
      </c>
      <c r="I1132" s="127"/>
      <c r="J1132" s="127"/>
      <c r="K1132" s="127"/>
      <c r="L1132" s="127"/>
      <c r="M1132" s="127"/>
      <c r="N1132" s="127"/>
      <c r="O1132" s="127"/>
      <c r="P1132" s="127"/>
      <c r="Q1132" s="127"/>
      <c r="R1132" s="127">
        <f t="shared" ref="R1132:AK1132" si="170">SUM(I1131:R1131)</f>
        <v>1692156</v>
      </c>
      <c r="S1132" s="127">
        <f t="shared" si="170"/>
        <v>1594136</v>
      </c>
      <c r="T1132" s="127">
        <f t="shared" si="170"/>
        <v>1451191</v>
      </c>
      <c r="U1132" s="127">
        <f t="shared" si="170"/>
        <v>1368863</v>
      </c>
      <c r="V1132" s="127">
        <f t="shared" si="170"/>
        <v>1293770</v>
      </c>
      <c r="W1132" s="127">
        <f t="shared" si="170"/>
        <v>1086527</v>
      </c>
      <c r="X1132" s="127">
        <f t="shared" si="170"/>
        <v>786552</v>
      </c>
      <c r="Y1132" s="127">
        <f t="shared" si="170"/>
        <v>809514</v>
      </c>
      <c r="Z1132" s="127">
        <f t="shared" si="170"/>
        <v>742936</v>
      </c>
      <c r="AA1132" s="127">
        <f t="shared" si="170"/>
        <v>734652</v>
      </c>
      <c r="AB1132" s="127">
        <f t="shared" si="170"/>
        <v>667688</v>
      </c>
      <c r="AC1132" s="127">
        <f t="shared" si="170"/>
        <v>611173</v>
      </c>
      <c r="AD1132" s="127">
        <f t="shared" si="170"/>
        <v>566092</v>
      </c>
      <c r="AE1132" s="127">
        <f t="shared" si="170"/>
        <v>447168</v>
      </c>
      <c r="AF1132" s="127">
        <f t="shared" si="170"/>
        <v>393942</v>
      </c>
      <c r="AG1132" s="127">
        <f t="shared" si="170"/>
        <v>340349</v>
      </c>
      <c r="AH1132" s="127">
        <f t="shared" si="170"/>
        <v>290596</v>
      </c>
      <c r="AI1132" s="127">
        <f t="shared" si="170"/>
        <v>187840</v>
      </c>
      <c r="AJ1132" s="127">
        <f t="shared" si="170"/>
        <v>69628</v>
      </c>
      <c r="AK1132" s="127">
        <f t="shared" si="170"/>
        <v>0</v>
      </c>
    </row>
    <row r="1133" spans="1:37" s="5" customFormat="1" x14ac:dyDescent="0.25">
      <c r="B1133" s="125"/>
      <c r="C1133" s="124"/>
      <c r="D1133" s="124"/>
      <c r="E1133" s="124"/>
      <c r="F1133" s="124" t="s">
        <v>1445</v>
      </c>
      <c r="G1133" s="124"/>
      <c r="H1133" s="124" t="s">
        <v>1017</v>
      </c>
      <c r="I1133" s="127"/>
      <c r="J1133" s="127"/>
      <c r="K1133" s="127"/>
      <c r="L1133" s="127"/>
      <c r="M1133" s="127"/>
      <c r="N1133" s="127"/>
      <c r="O1133" s="127"/>
      <c r="P1133" s="127"/>
      <c r="Q1133" s="127"/>
      <c r="R1133" s="127"/>
      <c r="S1133" s="127"/>
      <c r="T1133" s="127">
        <f>SUM($T1131:T1131)</f>
        <v>45081</v>
      </c>
      <c r="U1133" s="127">
        <f>SUM($T1131:U1131)</f>
        <v>164005</v>
      </c>
      <c r="V1133" s="127">
        <f>SUM($T1131:V1131)</f>
        <v>217231</v>
      </c>
      <c r="W1133" s="127">
        <f>SUM($T1131:W1131)</f>
        <v>270824</v>
      </c>
      <c r="X1133" s="127">
        <f>SUM($T1131:X1131)</f>
        <v>320577</v>
      </c>
      <c r="Y1133" s="127">
        <f>SUM($T1131:Y1131)</f>
        <v>423333</v>
      </c>
      <c r="Z1133" s="127">
        <f>SUM($T1131:Z1131)</f>
        <v>541545</v>
      </c>
      <c r="AA1133" s="127">
        <f>SUM($T1131:AA1131)</f>
        <v>611173</v>
      </c>
      <c r="AB1133" s="127">
        <f>SUM($T1131:AB1131)</f>
        <v>611173</v>
      </c>
      <c r="AC1133" s="127">
        <f>SUM($T1131:AC1131)</f>
        <v>611173</v>
      </c>
      <c r="AD1133" s="127">
        <f>SUM($T1131:AD1131)</f>
        <v>611173</v>
      </c>
      <c r="AE1133" s="127">
        <f>SUM($T1131:AE1131)</f>
        <v>611173</v>
      </c>
      <c r="AF1133" s="127">
        <f>SUM($T1131:AF1131)</f>
        <v>611173</v>
      </c>
      <c r="AG1133" s="127">
        <f>SUM($T1131:AG1131)</f>
        <v>611173</v>
      </c>
      <c r="AH1133" s="127">
        <f>SUM($T1131:AH1131)</f>
        <v>611173</v>
      </c>
      <c r="AI1133" s="127">
        <f>SUM($T1131:AI1131)</f>
        <v>611173</v>
      </c>
      <c r="AJ1133" s="127">
        <f>SUM($T1131:AJ1131)</f>
        <v>611173</v>
      </c>
      <c r="AK1133" s="127">
        <f>SUM($T1131:AK1131)</f>
        <v>611173</v>
      </c>
    </row>
    <row r="1134" spans="1:37" s="5" customFormat="1" x14ac:dyDescent="0.25">
      <c r="B1134" s="125"/>
      <c r="C1134" s="124"/>
      <c r="D1134" s="124"/>
      <c r="E1134" s="124"/>
      <c r="F1134" s="124" t="s">
        <v>1446</v>
      </c>
      <c r="G1134" s="124"/>
      <c r="H1134" s="124" t="s">
        <v>1017</v>
      </c>
      <c r="I1134" s="127"/>
      <c r="J1134" s="127"/>
      <c r="K1134" s="127"/>
      <c r="L1134" s="127"/>
      <c r="M1134" s="127"/>
      <c r="N1134" s="127"/>
      <c r="O1134" s="127"/>
      <c r="P1134" s="127"/>
      <c r="Q1134" s="127"/>
      <c r="R1134" s="127"/>
      <c r="S1134" s="127"/>
      <c r="T1134" s="127"/>
      <c r="U1134" s="127"/>
      <c r="V1134" s="127"/>
      <c r="W1134" s="127"/>
      <c r="X1134" s="127"/>
      <c r="Y1134" s="127"/>
      <c r="Z1134" s="127"/>
      <c r="AA1134" s="127"/>
      <c r="AB1134" s="127">
        <f>SUM($AB1131:AB1131)</f>
        <v>0</v>
      </c>
      <c r="AC1134" s="127">
        <f>SUM($AB1131:AC1131)</f>
        <v>0</v>
      </c>
      <c r="AD1134" s="127">
        <f>SUM($AB1131:AD1131)</f>
        <v>0</v>
      </c>
      <c r="AE1134" s="127">
        <f>SUM($AB1131:AE1131)</f>
        <v>0</v>
      </c>
      <c r="AF1134" s="127">
        <f>SUM($AB1131:AF1131)</f>
        <v>0</v>
      </c>
      <c r="AG1134" s="127">
        <f>SUM($AB1131:AG1131)</f>
        <v>0</v>
      </c>
      <c r="AH1134" s="127">
        <f>SUM($AB1131:AH1131)</f>
        <v>0</v>
      </c>
      <c r="AI1134" s="127">
        <f>SUM($AB1131:AI1131)</f>
        <v>0</v>
      </c>
      <c r="AJ1134" s="127">
        <f>SUM($AB1131:AJ1131)</f>
        <v>0</v>
      </c>
      <c r="AK1134" s="127">
        <f>SUM($AB1131:AK1131)</f>
        <v>0</v>
      </c>
    </row>
    <row r="1135" spans="1:37" s="5" customFormat="1" x14ac:dyDescent="0.25">
      <c r="B1135" s="125"/>
      <c r="C1135" s="124"/>
      <c r="D1135" s="126"/>
      <c r="E1135" s="9" t="s">
        <v>235</v>
      </c>
      <c r="F1135" s="9"/>
      <c r="G1135" s="124"/>
      <c r="H1135" s="124"/>
      <c r="I1135" s="97"/>
      <c r="J1135" s="97"/>
      <c r="K1135" s="97"/>
      <c r="L1135" s="97"/>
      <c r="M1135" s="97"/>
      <c r="N1135" s="97"/>
      <c r="O1135" s="97"/>
      <c r="P1135" s="97"/>
      <c r="Q1135" s="97"/>
      <c r="R1135" s="97"/>
      <c r="S1135" s="97"/>
      <c r="T1135" s="97"/>
      <c r="U1135" s="97"/>
      <c r="V1135" s="97"/>
      <c r="W1135" s="97"/>
      <c r="X1135" s="97"/>
      <c r="Y1135" s="97"/>
      <c r="Z1135" s="97"/>
      <c r="AA1135" s="97"/>
      <c r="AB1135" s="97"/>
      <c r="AC1135" s="97"/>
      <c r="AD1135" s="97"/>
      <c r="AE1135" s="97"/>
      <c r="AF1135" s="97"/>
      <c r="AG1135" s="97"/>
      <c r="AH1135" s="97"/>
      <c r="AI1135" s="97"/>
      <c r="AJ1135" s="97"/>
      <c r="AK1135" s="97"/>
    </row>
    <row r="1136" spans="1:37" s="5" customFormat="1" x14ac:dyDescent="0.25">
      <c r="B1136" s="125"/>
      <c r="C1136" s="124"/>
      <c r="D1136" s="126"/>
      <c r="E1136" s="9"/>
      <c r="F1136" s="9" t="s">
        <v>1442</v>
      </c>
      <c r="G1136" s="124"/>
      <c r="H1136" s="9" t="s">
        <v>1017</v>
      </c>
      <c r="I1136" s="97">
        <f>Datasheet!I94</f>
        <v>104</v>
      </c>
      <c r="J1136" s="97">
        <f>Datasheet!J94</f>
        <v>840</v>
      </c>
      <c r="K1136" s="97">
        <f>Datasheet!K94</f>
        <v>13600</v>
      </c>
      <c r="L1136" s="97">
        <f>Datasheet!L94</f>
        <v>272</v>
      </c>
      <c r="M1136" s="97">
        <f>Datasheet!M94</f>
        <v>2400</v>
      </c>
      <c r="N1136" s="97">
        <f>Datasheet!N94</f>
        <v>16996</v>
      </c>
      <c r="O1136" s="97">
        <f>Datasheet!O94</f>
        <v>2100</v>
      </c>
      <c r="P1136" s="97">
        <f>Datasheet!P94</f>
        <v>1264</v>
      </c>
      <c r="Q1136" s="97">
        <f>Datasheet!Q94</f>
        <v>1008</v>
      </c>
      <c r="R1136" s="97">
        <f>Datasheet!R94</f>
        <v>0</v>
      </c>
      <c r="S1136" s="97">
        <f>Datasheet!S94</f>
        <v>0</v>
      </c>
      <c r="T1136" s="97">
        <f>Datasheet!T94</f>
        <v>0</v>
      </c>
      <c r="U1136" s="97">
        <f>Datasheet!U94</f>
        <v>3945</v>
      </c>
      <c r="V1136" s="97">
        <f>Datasheet!V94</f>
        <v>1593</v>
      </c>
      <c r="W1136" s="97">
        <f>Datasheet!W94</f>
        <v>0</v>
      </c>
      <c r="X1136" s="97">
        <f>Datasheet!X94</f>
        <v>0</v>
      </c>
      <c r="Y1136" s="97">
        <f>Datasheet!Y94</f>
        <v>0</v>
      </c>
      <c r="Z1136" s="97">
        <f>Datasheet!Z94</f>
        <v>2520</v>
      </c>
      <c r="AA1136" s="97">
        <f>Datasheet!AA94</f>
        <v>9322</v>
      </c>
      <c r="AB1136" s="97">
        <f>Datasheet!AB94</f>
        <v>0</v>
      </c>
      <c r="AC1136" s="97">
        <f>Datasheet!AC94</f>
        <v>0</v>
      </c>
      <c r="AD1136" s="97">
        <f>Datasheet!AD94</f>
        <v>0</v>
      </c>
      <c r="AE1136" s="97">
        <f>Datasheet!AE94</f>
        <v>0</v>
      </c>
      <c r="AF1136" s="97">
        <f>Datasheet!AF94</f>
        <v>0</v>
      </c>
      <c r="AG1136" s="97">
        <f>Datasheet!AG94</f>
        <v>0</v>
      </c>
      <c r="AH1136" s="97">
        <f>Datasheet!AH94</f>
        <v>0</v>
      </c>
      <c r="AI1136" s="97">
        <f>Datasheet!AI94</f>
        <v>0</v>
      </c>
      <c r="AJ1136" s="97">
        <f>Datasheet!AJ94</f>
        <v>0</v>
      </c>
      <c r="AK1136" s="97">
        <f>Datasheet!AK94</f>
        <v>0</v>
      </c>
    </row>
    <row r="1137" spans="2:37" s="5" customFormat="1" x14ac:dyDescent="0.25">
      <c r="B1137" s="125"/>
      <c r="C1137" s="126"/>
      <c r="D1137" s="124"/>
      <c r="E1137" s="9"/>
      <c r="F1137" s="9" t="s">
        <v>1444</v>
      </c>
      <c r="G1137" s="124"/>
      <c r="H1137" s="9" t="s">
        <v>1017</v>
      </c>
      <c r="I1137" s="97"/>
      <c r="J1137" s="97"/>
      <c r="K1137" s="97"/>
      <c r="L1137" s="97"/>
      <c r="M1137" s="97"/>
      <c r="N1137" s="97"/>
      <c r="O1137" s="97"/>
      <c r="P1137" s="97"/>
      <c r="Q1137" s="97"/>
      <c r="R1137" s="97">
        <f t="shared" ref="R1137:AK1137" si="171">SUM(I1136:R1136)</f>
        <v>38584</v>
      </c>
      <c r="S1137" s="97">
        <f t="shared" si="171"/>
        <v>38480</v>
      </c>
      <c r="T1137" s="97">
        <f t="shared" si="171"/>
        <v>37640</v>
      </c>
      <c r="U1137" s="97">
        <f t="shared" si="171"/>
        <v>27985</v>
      </c>
      <c r="V1137" s="97">
        <f t="shared" si="171"/>
        <v>29306</v>
      </c>
      <c r="W1137" s="97">
        <f t="shared" si="171"/>
        <v>26906</v>
      </c>
      <c r="X1137" s="97">
        <f t="shared" si="171"/>
        <v>9910</v>
      </c>
      <c r="Y1137" s="97">
        <f t="shared" si="171"/>
        <v>7810</v>
      </c>
      <c r="Z1137" s="97">
        <f t="shared" si="171"/>
        <v>9066</v>
      </c>
      <c r="AA1137" s="97">
        <f t="shared" si="171"/>
        <v>17380</v>
      </c>
      <c r="AB1137" s="97">
        <f t="shared" si="171"/>
        <v>17380</v>
      </c>
      <c r="AC1137" s="97">
        <f t="shared" si="171"/>
        <v>17380</v>
      </c>
      <c r="AD1137" s="97">
        <f t="shared" si="171"/>
        <v>17380</v>
      </c>
      <c r="AE1137" s="97">
        <f t="shared" si="171"/>
        <v>13435</v>
      </c>
      <c r="AF1137" s="97">
        <f t="shared" si="171"/>
        <v>11842</v>
      </c>
      <c r="AG1137" s="97">
        <f t="shared" si="171"/>
        <v>11842</v>
      </c>
      <c r="AH1137" s="97">
        <f t="shared" si="171"/>
        <v>11842</v>
      </c>
      <c r="AI1137" s="97">
        <f t="shared" si="171"/>
        <v>11842</v>
      </c>
      <c r="AJ1137" s="97">
        <f t="shared" si="171"/>
        <v>9322</v>
      </c>
      <c r="AK1137" s="97">
        <f t="shared" si="171"/>
        <v>0</v>
      </c>
    </row>
    <row r="1138" spans="2:37" s="5" customFormat="1" x14ac:dyDescent="0.25">
      <c r="B1138" s="125"/>
      <c r="C1138" s="126"/>
      <c r="D1138" s="124"/>
      <c r="E1138" s="9"/>
      <c r="F1138" s="9" t="s">
        <v>1445</v>
      </c>
      <c r="G1138" s="124"/>
      <c r="H1138" s="9" t="s">
        <v>1017</v>
      </c>
      <c r="I1138" s="97"/>
      <c r="J1138" s="97"/>
      <c r="K1138" s="97"/>
      <c r="L1138" s="97"/>
      <c r="M1138" s="97"/>
      <c r="N1138" s="97"/>
      <c r="O1138" s="97"/>
      <c r="P1138" s="97"/>
      <c r="Q1138" s="97"/>
      <c r="R1138" s="97"/>
      <c r="S1138" s="97"/>
      <c r="T1138" s="97">
        <f>SUM($T1136:T1136)</f>
        <v>0</v>
      </c>
      <c r="U1138" s="97">
        <f>SUM($T1136:U1136)</f>
        <v>3945</v>
      </c>
      <c r="V1138" s="97">
        <f>SUM($T1136:V1136)</f>
        <v>5538</v>
      </c>
      <c r="W1138" s="97">
        <f>SUM($T1136:W1136)</f>
        <v>5538</v>
      </c>
      <c r="X1138" s="97">
        <f>SUM($T1136:X1136)</f>
        <v>5538</v>
      </c>
      <c r="Y1138" s="97">
        <f>SUM($T1136:Y1136)</f>
        <v>5538</v>
      </c>
      <c r="Z1138" s="97">
        <f>SUM($T1136:Z1136)</f>
        <v>8058</v>
      </c>
      <c r="AA1138" s="97">
        <f>SUM($T1136:AA1136)</f>
        <v>17380</v>
      </c>
      <c r="AB1138" s="97">
        <f>SUM($T1136:AB1136)</f>
        <v>17380</v>
      </c>
      <c r="AC1138" s="97">
        <f>SUM($T1136:AC1136)</f>
        <v>17380</v>
      </c>
      <c r="AD1138" s="97">
        <f>SUM($T1136:AD1136)</f>
        <v>17380</v>
      </c>
      <c r="AE1138" s="97">
        <f>SUM($T1136:AE1136)</f>
        <v>17380</v>
      </c>
      <c r="AF1138" s="97">
        <f>SUM($T1136:AF1136)</f>
        <v>17380</v>
      </c>
      <c r="AG1138" s="97">
        <f>SUM($T1136:AG1136)</f>
        <v>17380</v>
      </c>
      <c r="AH1138" s="97">
        <f>SUM($T1136:AH1136)</f>
        <v>17380</v>
      </c>
      <c r="AI1138" s="97">
        <f>SUM($T1136:AI1136)</f>
        <v>17380</v>
      </c>
      <c r="AJ1138" s="97">
        <f>SUM($T1136:AJ1136)</f>
        <v>17380</v>
      </c>
      <c r="AK1138" s="97">
        <f>SUM($T1136:AK1136)</f>
        <v>17380</v>
      </c>
    </row>
    <row r="1139" spans="2:37" s="5" customFormat="1" x14ac:dyDescent="0.25">
      <c r="B1139" s="125"/>
      <c r="C1139" s="126"/>
      <c r="D1139" s="124"/>
      <c r="E1139" s="9"/>
      <c r="F1139" s="9" t="s">
        <v>1446</v>
      </c>
      <c r="G1139" s="124"/>
      <c r="H1139" s="9" t="s">
        <v>1017</v>
      </c>
      <c r="I1139" s="97"/>
      <c r="J1139" s="97"/>
      <c r="K1139" s="97"/>
      <c r="L1139" s="97"/>
      <c r="M1139" s="97"/>
      <c r="N1139" s="97"/>
      <c r="O1139" s="97"/>
      <c r="P1139" s="97"/>
      <c r="Q1139" s="97"/>
      <c r="R1139" s="97"/>
      <c r="S1139" s="97"/>
      <c r="T1139" s="97"/>
      <c r="U1139" s="97"/>
      <c r="V1139" s="97"/>
      <c r="W1139" s="97"/>
      <c r="X1139" s="97"/>
      <c r="Y1139" s="97"/>
      <c r="Z1139" s="97"/>
      <c r="AA1139" s="97"/>
      <c r="AB1139" s="97">
        <f>SUM($AB1136:AB1136)</f>
        <v>0</v>
      </c>
      <c r="AC1139" s="97">
        <f>SUM($AB1136:AC1136)</f>
        <v>0</v>
      </c>
      <c r="AD1139" s="97">
        <f>SUM($AB1136:AD1136)</f>
        <v>0</v>
      </c>
      <c r="AE1139" s="97">
        <f>SUM($AB1136:AE1136)</f>
        <v>0</v>
      </c>
      <c r="AF1139" s="97">
        <f>SUM($AB1136:AF1136)</f>
        <v>0</v>
      </c>
      <c r="AG1139" s="97">
        <f>SUM($AB1136:AG1136)</f>
        <v>0</v>
      </c>
      <c r="AH1139" s="97">
        <f>SUM($AB1136:AH1136)</f>
        <v>0</v>
      </c>
      <c r="AI1139" s="97">
        <f>SUM($AB1136:AI1136)</f>
        <v>0</v>
      </c>
      <c r="AJ1139" s="97">
        <f>SUM($AB1136:AJ1136)</f>
        <v>0</v>
      </c>
      <c r="AK1139" s="97">
        <f>SUM($AB1136:AK1136)</f>
        <v>0</v>
      </c>
    </row>
    <row r="1140" spans="2:37" s="5" customFormat="1" x14ac:dyDescent="0.25">
      <c r="B1140" s="125"/>
      <c r="C1140" s="126"/>
      <c r="D1140" s="124"/>
      <c r="E1140" s="9" t="s">
        <v>248</v>
      </c>
      <c r="F1140" s="9"/>
      <c r="G1140" s="124"/>
      <c r="H1140" s="124"/>
      <c r="I1140" s="97"/>
      <c r="J1140" s="97"/>
      <c r="K1140" s="97"/>
      <c r="L1140" s="97"/>
      <c r="M1140" s="97"/>
      <c r="N1140" s="97"/>
      <c r="O1140" s="97"/>
      <c r="P1140" s="97"/>
      <c r="Q1140" s="97"/>
      <c r="R1140" s="97"/>
      <c r="S1140" s="97"/>
      <c r="T1140" s="97"/>
      <c r="U1140" s="97"/>
      <c r="V1140" s="97"/>
      <c r="W1140" s="97"/>
      <c r="X1140" s="97"/>
      <c r="Y1140" s="97"/>
      <c r="Z1140" s="97"/>
      <c r="AA1140" s="97"/>
      <c r="AB1140" s="97"/>
      <c r="AC1140" s="97"/>
      <c r="AD1140" s="97"/>
      <c r="AE1140" s="97"/>
      <c r="AF1140" s="97"/>
      <c r="AG1140" s="97"/>
      <c r="AH1140" s="97"/>
      <c r="AI1140" s="97"/>
      <c r="AJ1140" s="97"/>
      <c r="AK1140" s="97"/>
    </row>
    <row r="1141" spans="2:37" s="5" customFormat="1" x14ac:dyDescent="0.25">
      <c r="B1141" s="125"/>
      <c r="C1141" s="126"/>
      <c r="D1141" s="124"/>
      <c r="E1141" s="9"/>
      <c r="F1141" s="9" t="s">
        <v>1442</v>
      </c>
      <c r="G1141" s="124"/>
      <c r="H1141" s="9" t="s">
        <v>1017</v>
      </c>
      <c r="I1141" s="97">
        <f>Datasheet!I96</f>
        <v>256</v>
      </c>
      <c r="J1141" s="97">
        <f>Datasheet!J96</f>
        <v>10518</v>
      </c>
      <c r="K1141" s="97">
        <f>Datasheet!K96</f>
        <v>0</v>
      </c>
      <c r="L1141" s="97">
        <f>Datasheet!L96</f>
        <v>4267</v>
      </c>
      <c r="M1141" s="97">
        <f>Datasheet!M96</f>
        <v>11356</v>
      </c>
      <c r="N1141" s="97">
        <f>Datasheet!N96</f>
        <v>38977</v>
      </c>
      <c r="O1141" s="97">
        <f>Datasheet!O96</f>
        <v>17603</v>
      </c>
      <c r="P1141" s="97">
        <f>Datasheet!P96</f>
        <v>58450</v>
      </c>
      <c r="Q1141" s="97">
        <f>Datasheet!Q96</f>
        <v>2634</v>
      </c>
      <c r="R1141" s="97">
        <f>Datasheet!R96</f>
        <v>0</v>
      </c>
      <c r="S1141" s="97">
        <f>Datasheet!S96</f>
        <v>0</v>
      </c>
      <c r="T1141" s="97">
        <f>Datasheet!T96</f>
        <v>23039</v>
      </c>
      <c r="U1141" s="97">
        <f>Datasheet!U96</f>
        <v>1436</v>
      </c>
      <c r="V1141" s="97">
        <f>Datasheet!V96</f>
        <v>804</v>
      </c>
      <c r="W1141" s="97">
        <f>Datasheet!W96</f>
        <v>1779</v>
      </c>
      <c r="X1141" s="97">
        <f>Datasheet!X96</f>
        <v>3123</v>
      </c>
      <c r="Y1141" s="97">
        <f>Datasheet!Y96</f>
        <v>187</v>
      </c>
      <c r="Z1141" s="97">
        <f>Datasheet!Z96</f>
        <v>4233</v>
      </c>
      <c r="AA1141" s="97">
        <f>Datasheet!AA96</f>
        <v>8170</v>
      </c>
      <c r="AB1141" s="97">
        <f>Datasheet!AB96</f>
        <v>0</v>
      </c>
      <c r="AC1141" s="97">
        <f>Datasheet!AC96</f>
        <v>0</v>
      </c>
      <c r="AD1141" s="97">
        <f>Datasheet!AD96</f>
        <v>0</v>
      </c>
      <c r="AE1141" s="97">
        <f>Datasheet!AE96</f>
        <v>0</v>
      </c>
      <c r="AF1141" s="97">
        <f>Datasheet!AF96</f>
        <v>0</v>
      </c>
      <c r="AG1141" s="97">
        <f>Datasheet!AG96</f>
        <v>0</v>
      </c>
      <c r="AH1141" s="97">
        <f>Datasheet!AH96</f>
        <v>0</v>
      </c>
      <c r="AI1141" s="97">
        <f>Datasheet!AI96</f>
        <v>0</v>
      </c>
      <c r="AJ1141" s="97">
        <f>Datasheet!AJ96</f>
        <v>0</v>
      </c>
      <c r="AK1141" s="97">
        <f>Datasheet!AK96</f>
        <v>0</v>
      </c>
    </row>
    <row r="1142" spans="2:37" s="5" customFormat="1" x14ac:dyDescent="0.25">
      <c r="B1142" s="125"/>
      <c r="C1142" s="126"/>
      <c r="D1142" s="124"/>
      <c r="E1142" s="9"/>
      <c r="F1142" s="9" t="s">
        <v>1444</v>
      </c>
      <c r="G1142" s="124"/>
      <c r="H1142" s="9" t="s">
        <v>1017</v>
      </c>
      <c r="I1142" s="97"/>
      <c r="J1142" s="97"/>
      <c r="K1142" s="97"/>
      <c r="L1142" s="97"/>
      <c r="M1142" s="97"/>
      <c r="N1142" s="97"/>
      <c r="O1142" s="97"/>
      <c r="P1142" s="97"/>
      <c r="Q1142" s="97"/>
      <c r="R1142" s="97">
        <f t="shared" ref="R1142:AK1142" si="172">SUM(I1141:R1141)</f>
        <v>144061</v>
      </c>
      <c r="S1142" s="97">
        <f t="shared" si="172"/>
        <v>143805</v>
      </c>
      <c r="T1142" s="97">
        <f t="shared" si="172"/>
        <v>156326</v>
      </c>
      <c r="U1142" s="97">
        <f t="shared" si="172"/>
        <v>157762</v>
      </c>
      <c r="V1142" s="97">
        <f t="shared" si="172"/>
        <v>154299</v>
      </c>
      <c r="W1142" s="97">
        <f t="shared" si="172"/>
        <v>144722</v>
      </c>
      <c r="X1142" s="97">
        <f t="shared" si="172"/>
        <v>108868</v>
      </c>
      <c r="Y1142" s="97">
        <f t="shared" si="172"/>
        <v>91452</v>
      </c>
      <c r="Z1142" s="97">
        <f t="shared" si="172"/>
        <v>37235</v>
      </c>
      <c r="AA1142" s="97">
        <f t="shared" si="172"/>
        <v>42771</v>
      </c>
      <c r="AB1142" s="97">
        <f t="shared" si="172"/>
        <v>42771</v>
      </c>
      <c r="AC1142" s="97">
        <f t="shared" si="172"/>
        <v>42771</v>
      </c>
      <c r="AD1142" s="97">
        <f t="shared" si="172"/>
        <v>19732</v>
      </c>
      <c r="AE1142" s="97">
        <f t="shared" si="172"/>
        <v>18296</v>
      </c>
      <c r="AF1142" s="97">
        <f t="shared" si="172"/>
        <v>17492</v>
      </c>
      <c r="AG1142" s="97">
        <f t="shared" si="172"/>
        <v>15713</v>
      </c>
      <c r="AH1142" s="97">
        <f t="shared" si="172"/>
        <v>12590</v>
      </c>
      <c r="AI1142" s="97">
        <f t="shared" si="172"/>
        <v>12403</v>
      </c>
      <c r="AJ1142" s="97">
        <f t="shared" si="172"/>
        <v>8170</v>
      </c>
      <c r="AK1142" s="97">
        <f t="shared" si="172"/>
        <v>0</v>
      </c>
    </row>
    <row r="1143" spans="2:37" s="5" customFormat="1" x14ac:dyDescent="0.25">
      <c r="B1143" s="125"/>
      <c r="C1143" s="126"/>
      <c r="D1143" s="124"/>
      <c r="E1143" s="9"/>
      <c r="F1143" s="9" t="s">
        <v>1445</v>
      </c>
      <c r="G1143" s="124"/>
      <c r="H1143" s="9" t="s">
        <v>1017</v>
      </c>
      <c r="I1143" s="97"/>
      <c r="J1143" s="97"/>
      <c r="K1143" s="97"/>
      <c r="L1143" s="97"/>
      <c r="M1143" s="97"/>
      <c r="N1143" s="97"/>
      <c r="O1143" s="97"/>
      <c r="P1143" s="97"/>
      <c r="Q1143" s="97"/>
      <c r="R1143" s="97"/>
      <c r="S1143" s="97"/>
      <c r="T1143" s="97">
        <f>SUM($T1141:T1141)</f>
        <v>23039</v>
      </c>
      <c r="U1143" s="97">
        <f>SUM($T1141:U1141)</f>
        <v>24475</v>
      </c>
      <c r="V1143" s="97">
        <f>SUM($T1141:V1141)</f>
        <v>25279</v>
      </c>
      <c r="W1143" s="97">
        <f>SUM($T1141:W1141)</f>
        <v>27058</v>
      </c>
      <c r="X1143" s="97">
        <f>SUM($T1141:X1141)</f>
        <v>30181</v>
      </c>
      <c r="Y1143" s="97">
        <f>SUM($T1141:Y1141)</f>
        <v>30368</v>
      </c>
      <c r="Z1143" s="97">
        <f>SUM($T1141:Z1141)</f>
        <v>34601</v>
      </c>
      <c r="AA1143" s="97">
        <f>SUM($T1141:AA1141)</f>
        <v>42771</v>
      </c>
      <c r="AB1143" s="97">
        <f>SUM($T1141:AB1141)</f>
        <v>42771</v>
      </c>
      <c r="AC1143" s="97">
        <f>SUM($T1141:AC1141)</f>
        <v>42771</v>
      </c>
      <c r="AD1143" s="97">
        <f>SUM($T1141:AD1141)</f>
        <v>42771</v>
      </c>
      <c r="AE1143" s="97">
        <f>SUM($T1141:AE1141)</f>
        <v>42771</v>
      </c>
      <c r="AF1143" s="97">
        <f>SUM($T1141:AF1141)</f>
        <v>42771</v>
      </c>
      <c r="AG1143" s="97">
        <f>SUM($T1141:AG1141)</f>
        <v>42771</v>
      </c>
      <c r="AH1143" s="97">
        <f>SUM($T1141:AH1141)</f>
        <v>42771</v>
      </c>
      <c r="AI1143" s="97">
        <f>SUM($T1141:AI1141)</f>
        <v>42771</v>
      </c>
      <c r="AJ1143" s="97">
        <f>SUM($T1141:AJ1141)</f>
        <v>42771</v>
      </c>
      <c r="AK1143" s="97">
        <f>SUM($T1141:AK1141)</f>
        <v>42771</v>
      </c>
    </row>
    <row r="1144" spans="2:37" s="5" customFormat="1" x14ac:dyDescent="0.25">
      <c r="B1144" s="125"/>
      <c r="C1144" s="126"/>
      <c r="D1144" s="124"/>
      <c r="E1144" s="9"/>
      <c r="F1144" s="9" t="s">
        <v>1446</v>
      </c>
      <c r="G1144" s="124"/>
      <c r="H1144" s="9" t="s">
        <v>1017</v>
      </c>
      <c r="I1144" s="97"/>
      <c r="J1144" s="97"/>
      <c r="K1144" s="97"/>
      <c r="L1144" s="97"/>
      <c r="M1144" s="97"/>
      <c r="N1144" s="97"/>
      <c r="O1144" s="97"/>
      <c r="P1144" s="97"/>
      <c r="Q1144" s="97"/>
      <c r="R1144" s="97"/>
      <c r="S1144" s="97"/>
      <c r="T1144" s="97"/>
      <c r="U1144" s="97"/>
      <c r="V1144" s="97"/>
      <c r="W1144" s="97"/>
      <c r="X1144" s="97"/>
      <c r="Y1144" s="97"/>
      <c r="Z1144" s="97"/>
      <c r="AA1144" s="97"/>
      <c r="AB1144" s="97">
        <f>SUM($AB1141:AB1141)</f>
        <v>0</v>
      </c>
      <c r="AC1144" s="97">
        <f>SUM($AB1141:AC1141)</f>
        <v>0</v>
      </c>
      <c r="AD1144" s="97">
        <f>SUM($AB1141:AD1141)</f>
        <v>0</v>
      </c>
      <c r="AE1144" s="97">
        <f>SUM($AB1141:AE1141)</f>
        <v>0</v>
      </c>
      <c r="AF1144" s="97">
        <f>SUM($AB1141:AF1141)</f>
        <v>0</v>
      </c>
      <c r="AG1144" s="97">
        <f>SUM($AB1141:AG1141)</f>
        <v>0</v>
      </c>
      <c r="AH1144" s="97">
        <f>SUM($AB1141:AH1141)</f>
        <v>0</v>
      </c>
      <c r="AI1144" s="97">
        <f>SUM($AB1141:AI1141)</f>
        <v>0</v>
      </c>
      <c r="AJ1144" s="97">
        <f>SUM($AB1141:AJ1141)</f>
        <v>0</v>
      </c>
      <c r="AK1144" s="97">
        <f>SUM($AB1141:AK1141)</f>
        <v>0</v>
      </c>
    </row>
    <row r="1145" spans="2:37" s="5" customFormat="1" x14ac:dyDescent="0.25">
      <c r="B1145" s="125"/>
      <c r="C1145" s="126"/>
      <c r="D1145" s="124"/>
      <c r="E1145" s="9" t="s">
        <v>249</v>
      </c>
      <c r="F1145" s="9"/>
      <c r="G1145" s="124"/>
      <c r="H1145" s="124"/>
      <c r="I1145" s="97"/>
      <c r="J1145" s="97"/>
      <c r="K1145" s="97"/>
      <c r="L1145" s="97"/>
      <c r="M1145" s="97"/>
      <c r="N1145" s="97"/>
      <c r="O1145" s="97"/>
      <c r="P1145" s="97"/>
      <c r="Q1145" s="97"/>
      <c r="R1145" s="97"/>
      <c r="S1145" s="97"/>
      <c r="T1145" s="97"/>
      <c r="U1145" s="97"/>
      <c r="V1145" s="97"/>
      <c r="W1145" s="97"/>
      <c r="X1145" s="97"/>
      <c r="Y1145" s="97"/>
      <c r="Z1145" s="97"/>
      <c r="AA1145" s="97"/>
      <c r="AB1145" s="97"/>
      <c r="AC1145" s="97"/>
      <c r="AD1145" s="97"/>
      <c r="AE1145" s="97"/>
      <c r="AF1145" s="97"/>
      <c r="AG1145" s="97"/>
      <c r="AH1145" s="97"/>
      <c r="AI1145" s="97"/>
      <c r="AJ1145" s="97"/>
      <c r="AK1145" s="97"/>
    </row>
    <row r="1146" spans="2:37" s="5" customFormat="1" x14ac:dyDescent="0.25">
      <c r="B1146" s="125"/>
      <c r="C1146" s="126"/>
      <c r="D1146" s="124"/>
      <c r="E1146" s="9"/>
      <c r="F1146" s="9" t="s">
        <v>1442</v>
      </c>
      <c r="G1146" s="124"/>
      <c r="H1146" s="9" t="s">
        <v>1017</v>
      </c>
      <c r="I1146" s="97">
        <f>Datasheet!I97</f>
        <v>1312</v>
      </c>
      <c r="J1146" s="97">
        <f>Datasheet!J97</f>
        <v>5326</v>
      </c>
      <c r="K1146" s="97">
        <f>Datasheet!K97</f>
        <v>7988</v>
      </c>
      <c r="L1146" s="97">
        <f>Datasheet!L97</f>
        <v>0</v>
      </c>
      <c r="M1146" s="97">
        <f>Datasheet!M97</f>
        <v>4159</v>
      </c>
      <c r="N1146" s="97">
        <f>Datasheet!N97</f>
        <v>4679</v>
      </c>
      <c r="O1146" s="97">
        <f>Datasheet!O97</f>
        <v>0</v>
      </c>
      <c r="P1146" s="97">
        <f>Datasheet!P97</f>
        <v>6164</v>
      </c>
      <c r="Q1146" s="97">
        <f>Datasheet!Q97</f>
        <v>3813</v>
      </c>
      <c r="R1146" s="97">
        <f>Datasheet!R97</f>
        <v>4739</v>
      </c>
      <c r="S1146" s="97">
        <f>Datasheet!S97</f>
        <v>0</v>
      </c>
      <c r="T1146" s="97">
        <f>Datasheet!T97</f>
        <v>2003</v>
      </c>
      <c r="U1146" s="97">
        <f>Datasheet!U97</f>
        <v>3031</v>
      </c>
      <c r="V1146" s="97">
        <f>Datasheet!V97</f>
        <v>0</v>
      </c>
      <c r="W1146" s="97">
        <f>Datasheet!W97</f>
        <v>4199</v>
      </c>
      <c r="X1146" s="97">
        <f>Datasheet!X97</f>
        <v>15908</v>
      </c>
      <c r="Y1146" s="97">
        <f>Datasheet!Y97</f>
        <v>12553</v>
      </c>
      <c r="Z1146" s="97">
        <f>Datasheet!Z97</f>
        <v>547</v>
      </c>
      <c r="AA1146" s="97">
        <f>Datasheet!AA97</f>
        <v>670</v>
      </c>
      <c r="AB1146" s="97">
        <f>Datasheet!AB97</f>
        <v>0</v>
      </c>
      <c r="AC1146" s="97">
        <f>Datasheet!AC97</f>
        <v>0</v>
      </c>
      <c r="AD1146" s="97">
        <f>Datasheet!AD97</f>
        <v>0</v>
      </c>
      <c r="AE1146" s="97">
        <f>Datasheet!AE97</f>
        <v>0</v>
      </c>
      <c r="AF1146" s="97">
        <f>Datasheet!AF97</f>
        <v>0</v>
      </c>
      <c r="AG1146" s="97">
        <f>Datasheet!AG97</f>
        <v>0</v>
      </c>
      <c r="AH1146" s="97">
        <f>Datasheet!AH97</f>
        <v>0</v>
      </c>
      <c r="AI1146" s="97">
        <f>Datasheet!AI97</f>
        <v>0</v>
      </c>
      <c r="AJ1146" s="97">
        <f>Datasheet!AJ97</f>
        <v>0</v>
      </c>
      <c r="AK1146" s="97">
        <f>Datasheet!AK97</f>
        <v>0</v>
      </c>
    </row>
    <row r="1147" spans="2:37" s="5" customFormat="1" x14ac:dyDescent="0.25">
      <c r="B1147" s="125"/>
      <c r="C1147" s="126"/>
      <c r="D1147" s="124"/>
      <c r="E1147" s="9"/>
      <c r="F1147" s="9" t="s">
        <v>1444</v>
      </c>
      <c r="G1147" s="124"/>
      <c r="H1147" s="9" t="s">
        <v>1017</v>
      </c>
      <c r="I1147" s="97"/>
      <c r="J1147" s="97"/>
      <c r="K1147" s="97"/>
      <c r="L1147" s="97"/>
      <c r="M1147" s="97"/>
      <c r="N1147" s="97"/>
      <c r="O1147" s="97"/>
      <c r="P1147" s="97"/>
      <c r="Q1147" s="97"/>
      <c r="R1147" s="97">
        <f t="shared" ref="R1147:AK1147" si="173">SUM(I1146:R1146)</f>
        <v>38180</v>
      </c>
      <c r="S1147" s="97">
        <f t="shared" si="173"/>
        <v>36868</v>
      </c>
      <c r="T1147" s="97">
        <f t="shared" si="173"/>
        <v>33545</v>
      </c>
      <c r="U1147" s="97">
        <f t="shared" si="173"/>
        <v>28588</v>
      </c>
      <c r="V1147" s="97">
        <f t="shared" si="173"/>
        <v>28588</v>
      </c>
      <c r="W1147" s="97">
        <f t="shared" si="173"/>
        <v>28628</v>
      </c>
      <c r="X1147" s="97">
        <f t="shared" si="173"/>
        <v>39857</v>
      </c>
      <c r="Y1147" s="97">
        <f t="shared" si="173"/>
        <v>52410</v>
      </c>
      <c r="Z1147" s="97">
        <f t="shared" si="173"/>
        <v>46793</v>
      </c>
      <c r="AA1147" s="97">
        <f t="shared" si="173"/>
        <v>43650</v>
      </c>
      <c r="AB1147" s="97">
        <f t="shared" si="173"/>
        <v>38911</v>
      </c>
      <c r="AC1147" s="97">
        <f t="shared" si="173"/>
        <v>38911</v>
      </c>
      <c r="AD1147" s="97">
        <f t="shared" si="173"/>
        <v>36908</v>
      </c>
      <c r="AE1147" s="97">
        <f t="shared" si="173"/>
        <v>33877</v>
      </c>
      <c r="AF1147" s="97">
        <f t="shared" si="173"/>
        <v>33877</v>
      </c>
      <c r="AG1147" s="97">
        <f t="shared" si="173"/>
        <v>29678</v>
      </c>
      <c r="AH1147" s="97">
        <f t="shared" si="173"/>
        <v>13770</v>
      </c>
      <c r="AI1147" s="97">
        <f t="shared" si="173"/>
        <v>1217</v>
      </c>
      <c r="AJ1147" s="97">
        <f t="shared" si="173"/>
        <v>670</v>
      </c>
      <c r="AK1147" s="97">
        <f t="shared" si="173"/>
        <v>0</v>
      </c>
    </row>
    <row r="1148" spans="2:37" s="5" customFormat="1" x14ac:dyDescent="0.25">
      <c r="B1148" s="125"/>
      <c r="C1148" s="126"/>
      <c r="D1148" s="124"/>
      <c r="E1148" s="9"/>
      <c r="F1148" s="9" t="s">
        <v>1445</v>
      </c>
      <c r="G1148" s="124"/>
      <c r="H1148" s="9" t="s">
        <v>1017</v>
      </c>
      <c r="I1148" s="97"/>
      <c r="J1148" s="97"/>
      <c r="K1148" s="97"/>
      <c r="L1148" s="97"/>
      <c r="M1148" s="97"/>
      <c r="N1148" s="97"/>
      <c r="O1148" s="97"/>
      <c r="P1148" s="97"/>
      <c r="Q1148" s="97"/>
      <c r="R1148" s="97"/>
      <c r="S1148" s="97"/>
      <c r="T1148" s="97">
        <f>SUM($T1146:T1146)</f>
        <v>2003</v>
      </c>
      <c r="U1148" s="97">
        <f>SUM($T1146:U1146)</f>
        <v>5034</v>
      </c>
      <c r="V1148" s="97">
        <f>SUM($T1146:V1146)</f>
        <v>5034</v>
      </c>
      <c r="W1148" s="97">
        <f>SUM($T1146:W1146)</f>
        <v>9233</v>
      </c>
      <c r="X1148" s="97">
        <f>SUM($T1146:X1146)</f>
        <v>25141</v>
      </c>
      <c r="Y1148" s="97">
        <f>SUM($T1146:Y1146)</f>
        <v>37694</v>
      </c>
      <c r="Z1148" s="97">
        <f>SUM($T1146:Z1146)</f>
        <v>38241</v>
      </c>
      <c r="AA1148" s="97">
        <f>SUM($T1146:AA1146)</f>
        <v>38911</v>
      </c>
      <c r="AB1148" s="97">
        <f>SUM($T1146:AB1146)</f>
        <v>38911</v>
      </c>
      <c r="AC1148" s="97">
        <f>SUM($T1146:AC1146)</f>
        <v>38911</v>
      </c>
      <c r="AD1148" s="97">
        <f>SUM($T1146:AD1146)</f>
        <v>38911</v>
      </c>
      <c r="AE1148" s="97">
        <f>SUM($T1146:AE1146)</f>
        <v>38911</v>
      </c>
      <c r="AF1148" s="97">
        <f>SUM($T1146:AF1146)</f>
        <v>38911</v>
      </c>
      <c r="AG1148" s="97">
        <f>SUM($T1146:AG1146)</f>
        <v>38911</v>
      </c>
      <c r="AH1148" s="97">
        <f>SUM($T1146:AH1146)</f>
        <v>38911</v>
      </c>
      <c r="AI1148" s="97">
        <f>SUM($T1146:AI1146)</f>
        <v>38911</v>
      </c>
      <c r="AJ1148" s="97">
        <f>SUM($T1146:AJ1146)</f>
        <v>38911</v>
      </c>
      <c r="AK1148" s="97">
        <f>SUM($T1146:AK1146)</f>
        <v>38911</v>
      </c>
    </row>
    <row r="1149" spans="2:37" s="5" customFormat="1" x14ac:dyDescent="0.25">
      <c r="B1149" s="125"/>
      <c r="C1149" s="126"/>
      <c r="D1149" s="124"/>
      <c r="E1149" s="9"/>
      <c r="F1149" s="9" t="s">
        <v>1446</v>
      </c>
      <c r="G1149" s="124"/>
      <c r="H1149" s="9" t="s">
        <v>1017</v>
      </c>
      <c r="I1149" s="97"/>
      <c r="J1149" s="97"/>
      <c r="K1149" s="97"/>
      <c r="L1149" s="97"/>
      <c r="M1149" s="97"/>
      <c r="N1149" s="97"/>
      <c r="O1149" s="97"/>
      <c r="P1149" s="97"/>
      <c r="Q1149" s="97"/>
      <c r="R1149" s="97"/>
      <c r="S1149" s="97"/>
      <c r="T1149" s="97"/>
      <c r="U1149" s="97"/>
      <c r="V1149" s="97"/>
      <c r="W1149" s="97"/>
      <c r="X1149" s="97"/>
      <c r="Y1149" s="97"/>
      <c r="Z1149" s="97"/>
      <c r="AA1149" s="97"/>
      <c r="AB1149" s="97">
        <f>SUM($AB1146:AB1146)</f>
        <v>0</v>
      </c>
      <c r="AC1149" s="97">
        <f>SUM($AB1146:AC1146)</f>
        <v>0</v>
      </c>
      <c r="AD1149" s="97">
        <f>SUM($AB1146:AD1146)</f>
        <v>0</v>
      </c>
      <c r="AE1149" s="97">
        <f>SUM($AB1146:AE1146)</f>
        <v>0</v>
      </c>
      <c r="AF1149" s="97">
        <f>SUM($AB1146:AF1146)</f>
        <v>0</v>
      </c>
      <c r="AG1149" s="97">
        <f>SUM($AB1146:AG1146)</f>
        <v>0</v>
      </c>
      <c r="AH1149" s="97">
        <f>SUM($AB1146:AH1146)</f>
        <v>0</v>
      </c>
      <c r="AI1149" s="97">
        <f>SUM($AB1146:AI1146)</f>
        <v>0</v>
      </c>
      <c r="AJ1149" s="97">
        <f>SUM($AB1146:AJ1146)</f>
        <v>0</v>
      </c>
      <c r="AK1149" s="97">
        <f>SUM($AB1146:AK1146)</f>
        <v>0</v>
      </c>
    </row>
    <row r="1150" spans="2:37" s="5" customFormat="1" x14ac:dyDescent="0.25">
      <c r="B1150" s="125"/>
      <c r="C1150" s="126"/>
      <c r="D1150" s="124"/>
      <c r="E1150" s="9" t="s">
        <v>250</v>
      </c>
      <c r="F1150" s="9"/>
      <c r="G1150" s="124"/>
      <c r="H1150" s="124"/>
      <c r="I1150" s="97"/>
      <c r="J1150" s="97"/>
      <c r="K1150" s="97"/>
      <c r="L1150" s="97"/>
      <c r="M1150" s="97"/>
      <c r="N1150" s="97"/>
      <c r="O1150" s="97"/>
      <c r="P1150" s="97"/>
      <c r="Q1150" s="97"/>
      <c r="R1150" s="97"/>
      <c r="S1150" s="97"/>
      <c r="T1150" s="97"/>
      <c r="U1150" s="97"/>
      <c r="V1150" s="97"/>
      <c r="W1150" s="97"/>
      <c r="X1150" s="97"/>
      <c r="Y1150" s="97"/>
      <c r="Z1150" s="97"/>
      <c r="AA1150" s="97"/>
      <c r="AB1150" s="97"/>
      <c r="AC1150" s="97"/>
      <c r="AD1150" s="97"/>
      <c r="AE1150" s="97"/>
      <c r="AF1150" s="97"/>
      <c r="AG1150" s="97"/>
      <c r="AH1150" s="97"/>
      <c r="AI1150" s="97"/>
      <c r="AJ1150" s="97"/>
      <c r="AK1150" s="97"/>
    </row>
    <row r="1151" spans="2:37" s="5" customFormat="1" x14ac:dyDescent="0.25">
      <c r="B1151" s="125"/>
      <c r="C1151" s="126"/>
      <c r="D1151" s="124"/>
      <c r="E1151" s="9"/>
      <c r="F1151" s="9" t="s">
        <v>1442</v>
      </c>
      <c r="G1151" s="124"/>
      <c r="H1151" s="9" t="s">
        <v>1017</v>
      </c>
      <c r="I1151" s="97">
        <f>Datasheet!I98</f>
        <v>16528</v>
      </c>
      <c r="J1151" s="97">
        <f>Datasheet!J98</f>
        <v>27703</v>
      </c>
      <c r="K1151" s="97">
        <f>Datasheet!K98</f>
        <v>26295</v>
      </c>
      <c r="L1151" s="97">
        <f>Datasheet!L98</f>
        <v>11492</v>
      </c>
      <c r="M1151" s="97">
        <f>Datasheet!M98</f>
        <v>45948</v>
      </c>
      <c r="N1151" s="97">
        <f>Datasheet!N98</f>
        <v>50626</v>
      </c>
      <c r="O1151" s="97">
        <f>Datasheet!O98</f>
        <v>30466</v>
      </c>
      <c r="P1151" s="97">
        <f>Datasheet!P98</f>
        <v>77395</v>
      </c>
      <c r="Q1151" s="97">
        <f>Datasheet!Q98</f>
        <v>18906</v>
      </c>
      <c r="R1151" s="97">
        <f>Datasheet!R98</f>
        <v>-1268</v>
      </c>
      <c r="S1151" s="97">
        <f>Datasheet!S98</f>
        <v>13606</v>
      </c>
      <c r="T1151" s="97">
        <f>Datasheet!T98</f>
        <v>3539</v>
      </c>
      <c r="U1151" s="97">
        <f>Datasheet!U98</f>
        <v>-524</v>
      </c>
      <c r="V1151" s="97">
        <f>Datasheet!V98</f>
        <v>3900</v>
      </c>
      <c r="W1151" s="97">
        <f>Datasheet!W98</f>
        <v>-3359</v>
      </c>
      <c r="X1151" s="97">
        <f>Datasheet!X98</f>
        <v>23080</v>
      </c>
      <c r="Y1151" s="97">
        <f>Datasheet!Y98</f>
        <v>6840</v>
      </c>
      <c r="Z1151" s="97">
        <f>Datasheet!Z98</f>
        <v>18066</v>
      </c>
      <c r="AA1151" s="97">
        <f>Datasheet!AA98</f>
        <v>5943</v>
      </c>
      <c r="AB1151" s="97">
        <f>Datasheet!AB98</f>
        <v>0</v>
      </c>
      <c r="AC1151" s="97">
        <f>Datasheet!AC98</f>
        <v>0</v>
      </c>
      <c r="AD1151" s="97">
        <f>Datasheet!AD98</f>
        <v>0</v>
      </c>
      <c r="AE1151" s="97">
        <f>Datasheet!AE98</f>
        <v>0</v>
      </c>
      <c r="AF1151" s="97">
        <f>Datasheet!AF98</f>
        <v>0</v>
      </c>
      <c r="AG1151" s="97">
        <f>Datasheet!AG98</f>
        <v>0</v>
      </c>
      <c r="AH1151" s="97">
        <f>Datasheet!AH98</f>
        <v>0</v>
      </c>
      <c r="AI1151" s="97">
        <f>Datasheet!AI98</f>
        <v>0</v>
      </c>
      <c r="AJ1151" s="97">
        <f>Datasheet!AJ98</f>
        <v>0</v>
      </c>
      <c r="AK1151" s="97">
        <f>Datasheet!AK98</f>
        <v>0</v>
      </c>
    </row>
    <row r="1152" spans="2:37" s="5" customFormat="1" x14ac:dyDescent="0.25">
      <c r="B1152" s="125"/>
      <c r="C1152" s="126"/>
      <c r="D1152" s="124"/>
      <c r="E1152" s="9"/>
      <c r="F1152" s="9" t="s">
        <v>1444</v>
      </c>
      <c r="G1152" s="124"/>
      <c r="H1152" s="9" t="s">
        <v>1017</v>
      </c>
      <c r="I1152" s="97"/>
      <c r="J1152" s="97"/>
      <c r="K1152" s="97"/>
      <c r="L1152" s="97"/>
      <c r="M1152" s="97"/>
      <c r="N1152" s="97"/>
      <c r="O1152" s="97"/>
      <c r="P1152" s="97"/>
      <c r="Q1152" s="97"/>
      <c r="R1152" s="97">
        <f t="shared" ref="R1152:AK1152" si="174">SUM(I1151:R1151)</f>
        <v>304091</v>
      </c>
      <c r="S1152" s="97">
        <f t="shared" si="174"/>
        <v>301169</v>
      </c>
      <c r="T1152" s="97">
        <f t="shared" si="174"/>
        <v>277005</v>
      </c>
      <c r="U1152" s="97">
        <f t="shared" si="174"/>
        <v>250186</v>
      </c>
      <c r="V1152" s="97">
        <f t="shared" si="174"/>
        <v>242594</v>
      </c>
      <c r="W1152" s="97">
        <f t="shared" si="174"/>
        <v>193287</v>
      </c>
      <c r="X1152" s="97">
        <f t="shared" si="174"/>
        <v>165741</v>
      </c>
      <c r="Y1152" s="97">
        <f t="shared" si="174"/>
        <v>142115</v>
      </c>
      <c r="Z1152" s="97">
        <f t="shared" si="174"/>
        <v>82786</v>
      </c>
      <c r="AA1152" s="97">
        <f t="shared" si="174"/>
        <v>69823</v>
      </c>
      <c r="AB1152" s="97">
        <f t="shared" si="174"/>
        <v>71091</v>
      </c>
      <c r="AC1152" s="97">
        <f t="shared" si="174"/>
        <v>57485</v>
      </c>
      <c r="AD1152" s="97">
        <f t="shared" si="174"/>
        <v>53946</v>
      </c>
      <c r="AE1152" s="97">
        <f t="shared" si="174"/>
        <v>54470</v>
      </c>
      <c r="AF1152" s="97">
        <f t="shared" si="174"/>
        <v>50570</v>
      </c>
      <c r="AG1152" s="97">
        <f t="shared" si="174"/>
        <v>53929</v>
      </c>
      <c r="AH1152" s="97">
        <f t="shared" si="174"/>
        <v>30849</v>
      </c>
      <c r="AI1152" s="97">
        <f t="shared" si="174"/>
        <v>24009</v>
      </c>
      <c r="AJ1152" s="97">
        <f t="shared" si="174"/>
        <v>5943</v>
      </c>
      <c r="AK1152" s="97">
        <f t="shared" si="174"/>
        <v>0</v>
      </c>
    </row>
    <row r="1153" spans="2:37" s="5" customFormat="1" x14ac:dyDescent="0.25">
      <c r="B1153" s="125"/>
      <c r="C1153" s="126"/>
      <c r="D1153" s="124"/>
      <c r="E1153" s="9"/>
      <c r="F1153" s="9" t="s">
        <v>1445</v>
      </c>
      <c r="G1153" s="124"/>
      <c r="H1153" s="9" t="s">
        <v>1017</v>
      </c>
      <c r="I1153" s="97"/>
      <c r="J1153" s="97"/>
      <c r="K1153" s="97"/>
      <c r="L1153" s="97"/>
      <c r="M1153" s="97"/>
      <c r="N1153" s="97"/>
      <c r="O1153" s="97"/>
      <c r="P1153" s="97"/>
      <c r="Q1153" s="97"/>
      <c r="R1153" s="97"/>
      <c r="S1153" s="97"/>
      <c r="T1153" s="97">
        <f>SUM($T1151:T1151)</f>
        <v>3539</v>
      </c>
      <c r="U1153" s="97">
        <f>SUM($T1151:U1151)</f>
        <v>3015</v>
      </c>
      <c r="V1153" s="97">
        <f>SUM($T1151:V1151)</f>
        <v>6915</v>
      </c>
      <c r="W1153" s="97">
        <f>SUM($T1151:W1151)</f>
        <v>3556</v>
      </c>
      <c r="X1153" s="97">
        <f>SUM($T1151:X1151)</f>
        <v>26636</v>
      </c>
      <c r="Y1153" s="97">
        <f>SUM($T1151:Y1151)</f>
        <v>33476</v>
      </c>
      <c r="Z1153" s="97">
        <f>SUM($T1151:Z1151)</f>
        <v>51542</v>
      </c>
      <c r="AA1153" s="97">
        <f>SUM($T1151:AA1151)</f>
        <v>57485</v>
      </c>
      <c r="AB1153" s="97">
        <f>SUM($T1151:AB1151)</f>
        <v>57485</v>
      </c>
      <c r="AC1153" s="97">
        <f>SUM($T1151:AC1151)</f>
        <v>57485</v>
      </c>
      <c r="AD1153" s="97">
        <f>SUM($T1151:AD1151)</f>
        <v>57485</v>
      </c>
      <c r="AE1153" s="97">
        <f>SUM($T1151:AE1151)</f>
        <v>57485</v>
      </c>
      <c r="AF1153" s="97">
        <f>SUM($T1151:AF1151)</f>
        <v>57485</v>
      </c>
      <c r="AG1153" s="97">
        <f>SUM($T1151:AG1151)</f>
        <v>57485</v>
      </c>
      <c r="AH1153" s="97">
        <f>SUM($T1151:AH1151)</f>
        <v>57485</v>
      </c>
      <c r="AI1153" s="97">
        <f>SUM($T1151:AI1151)</f>
        <v>57485</v>
      </c>
      <c r="AJ1153" s="97">
        <f>SUM($T1151:AJ1151)</f>
        <v>57485</v>
      </c>
      <c r="AK1153" s="97">
        <f>SUM($T1151:AK1151)</f>
        <v>57485</v>
      </c>
    </row>
    <row r="1154" spans="2:37" s="5" customFormat="1" x14ac:dyDescent="0.25">
      <c r="B1154" s="125"/>
      <c r="C1154" s="126"/>
      <c r="D1154" s="124"/>
      <c r="E1154" s="9"/>
      <c r="F1154" s="9" t="s">
        <v>1446</v>
      </c>
      <c r="G1154" s="124"/>
      <c r="H1154" s="9" t="s">
        <v>1017</v>
      </c>
      <c r="I1154" s="97"/>
      <c r="J1154" s="97"/>
      <c r="K1154" s="97"/>
      <c r="L1154" s="97"/>
      <c r="M1154" s="97"/>
      <c r="N1154" s="97"/>
      <c r="O1154" s="97"/>
      <c r="P1154" s="97"/>
      <c r="Q1154" s="97"/>
      <c r="R1154" s="97"/>
      <c r="S1154" s="97"/>
      <c r="T1154" s="97"/>
      <c r="U1154" s="97"/>
      <c r="V1154" s="97"/>
      <c r="W1154" s="97"/>
      <c r="X1154" s="97"/>
      <c r="Y1154" s="97"/>
      <c r="Z1154" s="97"/>
      <c r="AA1154" s="97"/>
      <c r="AB1154" s="97">
        <f>SUM($AB1151:AB1151)</f>
        <v>0</v>
      </c>
      <c r="AC1154" s="97">
        <f>SUM($AB1151:AC1151)</f>
        <v>0</v>
      </c>
      <c r="AD1154" s="97">
        <f>SUM($AB1151:AD1151)</f>
        <v>0</v>
      </c>
      <c r="AE1154" s="97">
        <f>SUM($AB1151:AE1151)</f>
        <v>0</v>
      </c>
      <c r="AF1154" s="97">
        <f>SUM($AB1151:AF1151)</f>
        <v>0</v>
      </c>
      <c r="AG1154" s="97">
        <f>SUM($AB1151:AG1151)</f>
        <v>0</v>
      </c>
      <c r="AH1154" s="97">
        <f>SUM($AB1151:AH1151)</f>
        <v>0</v>
      </c>
      <c r="AI1154" s="97">
        <f>SUM($AB1151:AI1151)</f>
        <v>0</v>
      </c>
      <c r="AJ1154" s="97">
        <f>SUM($AB1151:AJ1151)</f>
        <v>0</v>
      </c>
      <c r="AK1154" s="97">
        <f>SUM($AB1151:AK1151)</f>
        <v>0</v>
      </c>
    </row>
    <row r="1155" spans="2:37" s="5" customFormat="1" x14ac:dyDescent="0.25">
      <c r="B1155" s="125"/>
      <c r="C1155" s="126"/>
      <c r="D1155" s="124"/>
      <c r="E1155" s="9" t="s">
        <v>251</v>
      </c>
      <c r="F1155" s="9"/>
      <c r="G1155" s="124"/>
      <c r="H1155" s="124"/>
      <c r="I1155" s="97"/>
      <c r="J1155" s="97"/>
      <c r="K1155" s="97"/>
      <c r="L1155" s="97"/>
      <c r="M1155" s="97"/>
      <c r="N1155" s="97"/>
      <c r="O1155" s="97"/>
      <c r="P1155" s="97"/>
      <c r="Q1155" s="97"/>
      <c r="R1155" s="97"/>
      <c r="S1155" s="97"/>
      <c r="T1155" s="97"/>
      <c r="U1155" s="97"/>
      <c r="V1155" s="97"/>
      <c r="W1155" s="97"/>
      <c r="X1155" s="97"/>
      <c r="Y1155" s="97"/>
      <c r="Z1155" s="97"/>
      <c r="AA1155" s="97"/>
      <c r="AB1155" s="97"/>
      <c r="AC1155" s="97"/>
      <c r="AD1155" s="97"/>
      <c r="AE1155" s="97"/>
      <c r="AF1155" s="97"/>
      <c r="AG1155" s="97"/>
      <c r="AH1155" s="97"/>
      <c r="AI1155" s="97"/>
      <c r="AJ1155" s="97"/>
      <c r="AK1155" s="97"/>
    </row>
    <row r="1156" spans="2:37" s="5" customFormat="1" x14ac:dyDescent="0.25">
      <c r="B1156" s="125"/>
      <c r="C1156" s="126"/>
      <c r="D1156" s="124"/>
      <c r="E1156" s="9"/>
      <c r="F1156" s="9" t="s">
        <v>1442</v>
      </c>
      <c r="G1156" s="124"/>
      <c r="H1156" s="9" t="s">
        <v>1017</v>
      </c>
      <c r="I1156" s="97">
        <f>Datasheet!I99</f>
        <v>10730</v>
      </c>
      <c r="J1156" s="97">
        <f>Datasheet!J99</f>
        <v>21103</v>
      </c>
      <c r="K1156" s="97">
        <f>Datasheet!K99</f>
        <v>10252</v>
      </c>
      <c r="L1156" s="97">
        <f>Datasheet!L99</f>
        <v>8250</v>
      </c>
      <c r="M1156" s="97">
        <f>Datasheet!M99</f>
        <v>10053</v>
      </c>
      <c r="N1156" s="97">
        <f>Datasheet!N99</f>
        <v>25850</v>
      </c>
      <c r="O1156" s="97">
        <f>Datasheet!O99</f>
        <v>5650</v>
      </c>
      <c r="P1156" s="97">
        <f>Datasheet!P99</f>
        <v>14300</v>
      </c>
      <c r="Q1156" s="97">
        <f>Datasheet!Q99</f>
        <v>2214</v>
      </c>
      <c r="R1156" s="97">
        <f>Datasheet!R99</f>
        <v>2806</v>
      </c>
      <c r="S1156" s="97">
        <f>Datasheet!S99</f>
        <v>0</v>
      </c>
      <c r="T1156" s="97">
        <f>Datasheet!T99</f>
        <v>15929</v>
      </c>
      <c r="U1156" s="97">
        <f>Datasheet!U99</f>
        <v>57893</v>
      </c>
      <c r="V1156" s="97">
        <f>Datasheet!V99</f>
        <v>5892</v>
      </c>
      <c r="W1156" s="97">
        <f>Datasheet!W99</f>
        <v>24157</v>
      </c>
      <c r="X1156" s="97">
        <f>Datasheet!X99</f>
        <v>-9330</v>
      </c>
      <c r="Y1156" s="97">
        <f>Datasheet!Y99</f>
        <v>-15375</v>
      </c>
      <c r="Z1156" s="97">
        <f>Datasheet!Z99</f>
        <v>-2945</v>
      </c>
      <c r="AA1156" s="97">
        <f>Datasheet!AA99</f>
        <v>-5600</v>
      </c>
      <c r="AB1156" s="97">
        <f>Datasheet!AB99</f>
        <v>0</v>
      </c>
      <c r="AC1156" s="97">
        <f>Datasheet!AC99</f>
        <v>0</v>
      </c>
      <c r="AD1156" s="97">
        <f>Datasheet!AD99</f>
        <v>0</v>
      </c>
      <c r="AE1156" s="97">
        <f>Datasheet!AE99</f>
        <v>0</v>
      </c>
      <c r="AF1156" s="97">
        <f>Datasheet!AF99</f>
        <v>0</v>
      </c>
      <c r="AG1156" s="97">
        <f>Datasheet!AG99</f>
        <v>0</v>
      </c>
      <c r="AH1156" s="97">
        <f>Datasheet!AH99</f>
        <v>0</v>
      </c>
      <c r="AI1156" s="97">
        <f>Datasheet!AI99</f>
        <v>0</v>
      </c>
      <c r="AJ1156" s="97">
        <f>Datasheet!AJ99</f>
        <v>0</v>
      </c>
      <c r="AK1156" s="97">
        <f>Datasheet!AK99</f>
        <v>0</v>
      </c>
    </row>
    <row r="1157" spans="2:37" s="5" customFormat="1" x14ac:dyDescent="0.25">
      <c r="B1157" s="125"/>
      <c r="C1157" s="126"/>
      <c r="D1157" s="124"/>
      <c r="E1157" s="9"/>
      <c r="F1157" s="9" t="s">
        <v>1444</v>
      </c>
      <c r="G1157" s="124"/>
      <c r="H1157" s="9" t="s">
        <v>1017</v>
      </c>
      <c r="I1157" s="97"/>
      <c r="J1157" s="97"/>
      <c r="K1157" s="97"/>
      <c r="L1157" s="97"/>
      <c r="M1157" s="97"/>
      <c r="N1157" s="97"/>
      <c r="O1157" s="97"/>
      <c r="P1157" s="97"/>
      <c r="Q1157" s="97"/>
      <c r="R1157" s="97">
        <f t="shared" ref="R1157:AK1157" si="175">SUM(I1156:R1156)</f>
        <v>111208</v>
      </c>
      <c r="S1157" s="97">
        <f t="shared" si="175"/>
        <v>100478</v>
      </c>
      <c r="T1157" s="97">
        <f t="shared" si="175"/>
        <v>95304</v>
      </c>
      <c r="U1157" s="97">
        <f t="shared" si="175"/>
        <v>142945</v>
      </c>
      <c r="V1157" s="97">
        <f t="shared" si="175"/>
        <v>140587</v>
      </c>
      <c r="W1157" s="97">
        <f t="shared" si="175"/>
        <v>154691</v>
      </c>
      <c r="X1157" s="97">
        <f t="shared" si="175"/>
        <v>119511</v>
      </c>
      <c r="Y1157" s="97">
        <f t="shared" si="175"/>
        <v>98486</v>
      </c>
      <c r="Z1157" s="97">
        <f t="shared" si="175"/>
        <v>81241</v>
      </c>
      <c r="AA1157" s="97">
        <f t="shared" si="175"/>
        <v>73427</v>
      </c>
      <c r="AB1157" s="97">
        <f t="shared" si="175"/>
        <v>70621</v>
      </c>
      <c r="AC1157" s="97">
        <f t="shared" si="175"/>
        <v>70621</v>
      </c>
      <c r="AD1157" s="97">
        <f t="shared" si="175"/>
        <v>54692</v>
      </c>
      <c r="AE1157" s="97">
        <f t="shared" si="175"/>
        <v>-3201</v>
      </c>
      <c r="AF1157" s="97">
        <f t="shared" si="175"/>
        <v>-9093</v>
      </c>
      <c r="AG1157" s="97">
        <f t="shared" si="175"/>
        <v>-33250</v>
      </c>
      <c r="AH1157" s="97">
        <f t="shared" si="175"/>
        <v>-23920</v>
      </c>
      <c r="AI1157" s="97">
        <f t="shared" si="175"/>
        <v>-8545</v>
      </c>
      <c r="AJ1157" s="97">
        <f t="shared" si="175"/>
        <v>-5600</v>
      </c>
      <c r="AK1157" s="97">
        <f t="shared" si="175"/>
        <v>0</v>
      </c>
    </row>
    <row r="1158" spans="2:37" s="5" customFormat="1" x14ac:dyDescent="0.25">
      <c r="B1158" s="125"/>
      <c r="C1158" s="126"/>
      <c r="D1158" s="124"/>
      <c r="E1158" s="9"/>
      <c r="F1158" s="9" t="s">
        <v>1445</v>
      </c>
      <c r="G1158" s="124"/>
      <c r="H1158" s="9" t="s">
        <v>1017</v>
      </c>
      <c r="I1158" s="97"/>
      <c r="J1158" s="97"/>
      <c r="K1158" s="97"/>
      <c r="L1158" s="97"/>
      <c r="M1158" s="97"/>
      <c r="N1158" s="97"/>
      <c r="O1158" s="97"/>
      <c r="P1158" s="97"/>
      <c r="Q1158" s="97"/>
      <c r="R1158" s="97"/>
      <c r="S1158" s="97"/>
      <c r="T1158" s="97">
        <f>SUM($T1156:T1156)</f>
        <v>15929</v>
      </c>
      <c r="U1158" s="97">
        <f>SUM($T1156:U1156)</f>
        <v>73822</v>
      </c>
      <c r="V1158" s="97">
        <f>SUM($T1156:V1156)</f>
        <v>79714</v>
      </c>
      <c r="W1158" s="97">
        <f>SUM($T1156:W1156)</f>
        <v>103871</v>
      </c>
      <c r="X1158" s="97">
        <f>SUM($T1156:X1156)</f>
        <v>94541</v>
      </c>
      <c r="Y1158" s="97">
        <f>SUM($T1156:Y1156)</f>
        <v>79166</v>
      </c>
      <c r="Z1158" s="97">
        <f>SUM($T1156:Z1156)</f>
        <v>76221</v>
      </c>
      <c r="AA1158" s="97">
        <f>SUM($T1156:AA1156)</f>
        <v>70621</v>
      </c>
      <c r="AB1158" s="97">
        <f>SUM($T1156:AB1156)</f>
        <v>70621</v>
      </c>
      <c r="AC1158" s="97">
        <f>SUM($T1156:AC1156)</f>
        <v>70621</v>
      </c>
      <c r="AD1158" s="97">
        <f>SUM($T1156:AD1156)</f>
        <v>70621</v>
      </c>
      <c r="AE1158" s="97">
        <f>SUM($T1156:AE1156)</f>
        <v>70621</v>
      </c>
      <c r="AF1158" s="97">
        <f>SUM($T1156:AF1156)</f>
        <v>70621</v>
      </c>
      <c r="AG1158" s="97">
        <f>SUM($T1156:AG1156)</f>
        <v>70621</v>
      </c>
      <c r="AH1158" s="97">
        <f>SUM($T1156:AH1156)</f>
        <v>70621</v>
      </c>
      <c r="AI1158" s="97">
        <f>SUM($T1156:AI1156)</f>
        <v>70621</v>
      </c>
      <c r="AJ1158" s="97">
        <f>SUM($T1156:AJ1156)</f>
        <v>70621</v>
      </c>
      <c r="AK1158" s="97">
        <f>SUM($T1156:AK1156)</f>
        <v>70621</v>
      </c>
    </row>
    <row r="1159" spans="2:37" s="5" customFormat="1" x14ac:dyDescent="0.25">
      <c r="B1159" s="125"/>
      <c r="C1159" s="126"/>
      <c r="D1159" s="124"/>
      <c r="E1159" s="9"/>
      <c r="F1159" s="9" t="s">
        <v>1446</v>
      </c>
      <c r="G1159" s="124"/>
      <c r="H1159" s="9" t="s">
        <v>1017</v>
      </c>
      <c r="I1159" s="97"/>
      <c r="J1159" s="97"/>
      <c r="K1159" s="97"/>
      <c r="L1159" s="97"/>
      <c r="M1159" s="97"/>
      <c r="N1159" s="97"/>
      <c r="O1159" s="97"/>
      <c r="P1159" s="97"/>
      <c r="Q1159" s="97"/>
      <c r="R1159" s="97"/>
      <c r="S1159" s="97"/>
      <c r="T1159" s="97"/>
      <c r="U1159" s="97"/>
      <c r="V1159" s="97"/>
      <c r="W1159" s="97"/>
      <c r="X1159" s="97"/>
      <c r="Y1159" s="97"/>
      <c r="Z1159" s="97"/>
      <c r="AA1159" s="97"/>
      <c r="AB1159" s="97">
        <f>SUM($AB1156:AB1156)</f>
        <v>0</v>
      </c>
      <c r="AC1159" s="97">
        <f>SUM($AB1156:AC1156)</f>
        <v>0</v>
      </c>
      <c r="AD1159" s="97">
        <f>SUM($AB1156:AD1156)</f>
        <v>0</v>
      </c>
      <c r="AE1159" s="97">
        <f>SUM($AB1156:AE1156)</f>
        <v>0</v>
      </c>
      <c r="AF1159" s="97">
        <f>SUM($AB1156:AF1156)</f>
        <v>0</v>
      </c>
      <c r="AG1159" s="97">
        <f>SUM($AB1156:AG1156)</f>
        <v>0</v>
      </c>
      <c r="AH1159" s="97">
        <f>SUM($AB1156:AH1156)</f>
        <v>0</v>
      </c>
      <c r="AI1159" s="97">
        <f>SUM($AB1156:AI1156)</f>
        <v>0</v>
      </c>
      <c r="AJ1159" s="97">
        <f>SUM($AB1156:AJ1156)</f>
        <v>0</v>
      </c>
      <c r="AK1159" s="97">
        <f>SUM($AB1156:AK1156)</f>
        <v>0</v>
      </c>
    </row>
    <row r="1160" spans="2:37" s="5" customFormat="1" x14ac:dyDescent="0.25">
      <c r="B1160" s="125"/>
      <c r="C1160" s="126"/>
      <c r="D1160" s="124"/>
      <c r="E1160" s="9" t="s">
        <v>252</v>
      </c>
      <c r="F1160" s="9"/>
      <c r="G1160" s="124"/>
      <c r="H1160" s="124"/>
      <c r="I1160" s="97"/>
      <c r="J1160" s="97"/>
      <c r="K1160" s="97"/>
      <c r="L1160" s="97"/>
      <c r="M1160" s="97"/>
      <c r="N1160" s="97"/>
      <c r="O1160" s="97"/>
      <c r="P1160" s="97"/>
      <c r="Q1160" s="97"/>
      <c r="R1160" s="97"/>
      <c r="S1160" s="97"/>
      <c r="T1160" s="97"/>
      <c r="U1160" s="97"/>
      <c r="V1160" s="97"/>
      <c r="W1160" s="97"/>
      <c r="X1160" s="97"/>
      <c r="Y1160" s="97"/>
      <c r="Z1160" s="97"/>
      <c r="AA1160" s="97"/>
      <c r="AB1160" s="97"/>
      <c r="AC1160" s="97"/>
      <c r="AD1160" s="97"/>
      <c r="AE1160" s="97"/>
      <c r="AF1160" s="97"/>
      <c r="AG1160" s="97"/>
      <c r="AH1160" s="97"/>
      <c r="AI1160" s="97"/>
      <c r="AJ1160" s="97"/>
      <c r="AK1160" s="97"/>
    </row>
    <row r="1161" spans="2:37" s="5" customFormat="1" x14ac:dyDescent="0.25">
      <c r="B1161" s="125"/>
      <c r="C1161" s="126"/>
      <c r="D1161" s="124"/>
      <c r="E1161" s="9"/>
      <c r="F1161" s="9" t="s">
        <v>1442</v>
      </c>
      <c r="G1161" s="124"/>
      <c r="H1161" s="9" t="s">
        <v>1017</v>
      </c>
      <c r="I1161" s="97">
        <f>Datasheet!I100</f>
        <v>2344</v>
      </c>
      <c r="J1161" s="97">
        <f>Datasheet!J100</f>
        <v>107534</v>
      </c>
      <c r="K1161" s="97">
        <f>Datasheet!K100</f>
        <v>110153</v>
      </c>
      <c r="L1161" s="97">
        <f>Datasheet!L100</f>
        <v>7844</v>
      </c>
      <c r="M1161" s="97">
        <f>Datasheet!M100</f>
        <v>497</v>
      </c>
      <c r="N1161" s="97">
        <f>Datasheet!N100</f>
        <v>22161</v>
      </c>
      <c r="O1161" s="97">
        <f>Datasheet!O100</f>
        <v>16917</v>
      </c>
      <c r="P1161" s="97">
        <f>Datasheet!P100</f>
        <v>23538</v>
      </c>
      <c r="Q1161" s="97">
        <f>Datasheet!Q100</f>
        <v>13746</v>
      </c>
      <c r="R1161" s="97">
        <f>Datasheet!R100</f>
        <v>0</v>
      </c>
      <c r="S1161" s="97">
        <f>Datasheet!S100</f>
        <v>12951</v>
      </c>
      <c r="T1161" s="97">
        <f>Datasheet!T100</f>
        <v>-1932</v>
      </c>
      <c r="U1161" s="97">
        <f>Datasheet!U100</f>
        <v>43559</v>
      </c>
      <c r="V1161" s="97">
        <f>Datasheet!V100</f>
        <v>7556</v>
      </c>
      <c r="W1161" s="97">
        <f>Datasheet!W100</f>
        <v>22550</v>
      </c>
      <c r="X1161" s="97">
        <f>Datasheet!X100</f>
        <v>15690</v>
      </c>
      <c r="Y1161" s="97">
        <f>Datasheet!Y100</f>
        <v>9097</v>
      </c>
      <c r="Z1161" s="97">
        <f>Datasheet!Z100</f>
        <v>32115</v>
      </c>
      <c r="AA1161" s="97">
        <f>Datasheet!AA100</f>
        <v>21209</v>
      </c>
      <c r="AB1161" s="97">
        <f>Datasheet!AB100</f>
        <v>0</v>
      </c>
      <c r="AC1161" s="97">
        <f>Datasheet!AC100</f>
        <v>0</v>
      </c>
      <c r="AD1161" s="97">
        <f>Datasheet!AD100</f>
        <v>0</v>
      </c>
      <c r="AE1161" s="97">
        <f>Datasheet!AE100</f>
        <v>0</v>
      </c>
      <c r="AF1161" s="97">
        <f>Datasheet!AF100</f>
        <v>0</v>
      </c>
      <c r="AG1161" s="97">
        <f>Datasheet!AG100</f>
        <v>0</v>
      </c>
      <c r="AH1161" s="97">
        <f>Datasheet!AH100</f>
        <v>0</v>
      </c>
      <c r="AI1161" s="97">
        <f>Datasheet!AI100</f>
        <v>0</v>
      </c>
      <c r="AJ1161" s="97">
        <f>Datasheet!AJ100</f>
        <v>0</v>
      </c>
      <c r="AK1161" s="97">
        <f>Datasheet!AK100</f>
        <v>0</v>
      </c>
    </row>
    <row r="1162" spans="2:37" s="5" customFormat="1" x14ac:dyDescent="0.25">
      <c r="B1162" s="125"/>
      <c r="C1162" s="126"/>
      <c r="D1162" s="124"/>
      <c r="E1162" s="9"/>
      <c r="F1162" s="9" t="s">
        <v>1444</v>
      </c>
      <c r="G1162" s="124"/>
      <c r="H1162" s="9" t="s">
        <v>1017</v>
      </c>
      <c r="I1162" s="97"/>
      <c r="J1162" s="97"/>
      <c r="K1162" s="97"/>
      <c r="L1162" s="97"/>
      <c r="M1162" s="97"/>
      <c r="N1162" s="97"/>
      <c r="O1162" s="97"/>
      <c r="P1162" s="97"/>
      <c r="Q1162" s="97"/>
      <c r="R1162" s="97">
        <f t="shared" ref="R1162:AK1162" si="176">SUM(I1161:R1161)</f>
        <v>304734</v>
      </c>
      <c r="S1162" s="97">
        <f t="shared" si="176"/>
        <v>315341</v>
      </c>
      <c r="T1162" s="97">
        <f t="shared" si="176"/>
        <v>205875</v>
      </c>
      <c r="U1162" s="97">
        <f t="shared" si="176"/>
        <v>139281</v>
      </c>
      <c r="V1162" s="97">
        <f t="shared" si="176"/>
        <v>138993</v>
      </c>
      <c r="W1162" s="97">
        <f t="shared" si="176"/>
        <v>161046</v>
      </c>
      <c r="X1162" s="97">
        <f t="shared" si="176"/>
        <v>154575</v>
      </c>
      <c r="Y1162" s="97">
        <f t="shared" si="176"/>
        <v>146755</v>
      </c>
      <c r="Z1162" s="97">
        <f t="shared" si="176"/>
        <v>155332</v>
      </c>
      <c r="AA1162" s="97">
        <f t="shared" si="176"/>
        <v>162795</v>
      </c>
      <c r="AB1162" s="97">
        <f t="shared" si="176"/>
        <v>162795</v>
      </c>
      <c r="AC1162" s="97">
        <f t="shared" si="176"/>
        <v>149844</v>
      </c>
      <c r="AD1162" s="97">
        <f t="shared" si="176"/>
        <v>151776</v>
      </c>
      <c r="AE1162" s="97">
        <f t="shared" si="176"/>
        <v>108217</v>
      </c>
      <c r="AF1162" s="97">
        <f t="shared" si="176"/>
        <v>100661</v>
      </c>
      <c r="AG1162" s="97">
        <f t="shared" si="176"/>
        <v>78111</v>
      </c>
      <c r="AH1162" s="97">
        <f t="shared" si="176"/>
        <v>62421</v>
      </c>
      <c r="AI1162" s="97">
        <f t="shared" si="176"/>
        <v>53324</v>
      </c>
      <c r="AJ1162" s="97">
        <f t="shared" si="176"/>
        <v>21209</v>
      </c>
      <c r="AK1162" s="97">
        <f t="shared" si="176"/>
        <v>0</v>
      </c>
    </row>
    <row r="1163" spans="2:37" s="5" customFormat="1" x14ac:dyDescent="0.25">
      <c r="B1163" s="125"/>
      <c r="C1163" s="126"/>
      <c r="D1163" s="124"/>
      <c r="E1163" s="9"/>
      <c r="F1163" s="9" t="s">
        <v>1445</v>
      </c>
      <c r="G1163" s="124"/>
      <c r="H1163" s="9" t="s">
        <v>1017</v>
      </c>
      <c r="I1163" s="97"/>
      <c r="J1163" s="97"/>
      <c r="K1163" s="97"/>
      <c r="L1163" s="97"/>
      <c r="M1163" s="97"/>
      <c r="N1163" s="97"/>
      <c r="O1163" s="97"/>
      <c r="P1163" s="97"/>
      <c r="Q1163" s="97"/>
      <c r="R1163" s="97"/>
      <c r="S1163" s="97"/>
      <c r="T1163" s="97">
        <f>SUM($T1161:T1161)</f>
        <v>-1932</v>
      </c>
      <c r="U1163" s="97">
        <f>SUM($T1161:U1161)</f>
        <v>41627</v>
      </c>
      <c r="V1163" s="97">
        <f>SUM($T1161:V1161)</f>
        <v>49183</v>
      </c>
      <c r="W1163" s="97">
        <f>SUM($T1161:W1161)</f>
        <v>71733</v>
      </c>
      <c r="X1163" s="97">
        <f>SUM($T1161:X1161)</f>
        <v>87423</v>
      </c>
      <c r="Y1163" s="97">
        <f>SUM($T1161:Y1161)</f>
        <v>96520</v>
      </c>
      <c r="Z1163" s="97">
        <f>SUM($T1161:Z1161)</f>
        <v>128635</v>
      </c>
      <c r="AA1163" s="97">
        <f>SUM($T1161:AA1161)</f>
        <v>149844</v>
      </c>
      <c r="AB1163" s="97">
        <f>SUM($T1161:AB1161)</f>
        <v>149844</v>
      </c>
      <c r="AC1163" s="97">
        <f>SUM($T1161:AC1161)</f>
        <v>149844</v>
      </c>
      <c r="AD1163" s="97">
        <f>SUM($T1161:AD1161)</f>
        <v>149844</v>
      </c>
      <c r="AE1163" s="97">
        <f>SUM($T1161:AE1161)</f>
        <v>149844</v>
      </c>
      <c r="AF1163" s="97">
        <f>SUM($T1161:AF1161)</f>
        <v>149844</v>
      </c>
      <c r="AG1163" s="97">
        <f>SUM($T1161:AG1161)</f>
        <v>149844</v>
      </c>
      <c r="AH1163" s="97">
        <f>SUM($T1161:AH1161)</f>
        <v>149844</v>
      </c>
      <c r="AI1163" s="97">
        <f>SUM($T1161:AI1161)</f>
        <v>149844</v>
      </c>
      <c r="AJ1163" s="97">
        <f>SUM($T1161:AJ1161)</f>
        <v>149844</v>
      </c>
      <c r="AK1163" s="97">
        <f>SUM($T1161:AK1161)</f>
        <v>149844</v>
      </c>
    </row>
    <row r="1164" spans="2:37" s="5" customFormat="1" x14ac:dyDescent="0.25">
      <c r="B1164" s="125"/>
      <c r="C1164" s="126"/>
      <c r="D1164" s="124"/>
      <c r="E1164" s="9"/>
      <c r="F1164" s="9" t="s">
        <v>1446</v>
      </c>
      <c r="G1164" s="124"/>
      <c r="H1164" s="9" t="s">
        <v>1017</v>
      </c>
      <c r="I1164" s="97"/>
      <c r="J1164" s="97"/>
      <c r="K1164" s="97"/>
      <c r="L1164" s="97"/>
      <c r="M1164" s="97"/>
      <c r="N1164" s="97"/>
      <c r="O1164" s="97"/>
      <c r="P1164" s="97"/>
      <c r="Q1164" s="97"/>
      <c r="R1164" s="97"/>
      <c r="S1164" s="97"/>
      <c r="T1164" s="97"/>
      <c r="U1164" s="97"/>
      <c r="V1164" s="97"/>
      <c r="W1164" s="97"/>
      <c r="X1164" s="97"/>
      <c r="Y1164" s="97"/>
      <c r="Z1164" s="97"/>
      <c r="AA1164" s="97"/>
      <c r="AB1164" s="97">
        <f>SUM($AB1161:AB1161)</f>
        <v>0</v>
      </c>
      <c r="AC1164" s="97">
        <f>SUM($AB1161:AC1161)</f>
        <v>0</v>
      </c>
      <c r="AD1164" s="97">
        <f>SUM($AB1161:AD1161)</f>
        <v>0</v>
      </c>
      <c r="AE1164" s="97">
        <f>SUM($AB1161:AE1161)</f>
        <v>0</v>
      </c>
      <c r="AF1164" s="97">
        <f>SUM($AB1161:AF1161)</f>
        <v>0</v>
      </c>
      <c r="AG1164" s="97">
        <f>SUM($AB1161:AG1161)</f>
        <v>0</v>
      </c>
      <c r="AH1164" s="97">
        <f>SUM($AB1161:AH1161)</f>
        <v>0</v>
      </c>
      <c r="AI1164" s="97">
        <f>SUM($AB1161:AI1161)</f>
        <v>0</v>
      </c>
      <c r="AJ1164" s="97">
        <f>SUM($AB1161:AJ1161)</f>
        <v>0</v>
      </c>
      <c r="AK1164" s="97">
        <f>SUM($AB1161:AK1161)</f>
        <v>0</v>
      </c>
    </row>
    <row r="1165" spans="2:37" s="5" customFormat="1" x14ac:dyDescent="0.25">
      <c r="B1165" s="125"/>
      <c r="C1165" s="126"/>
      <c r="D1165" s="124"/>
      <c r="E1165" s="9" t="s">
        <v>253</v>
      </c>
      <c r="F1165" s="9"/>
      <c r="G1165" s="124"/>
      <c r="H1165" s="124"/>
      <c r="I1165" s="97"/>
      <c r="J1165" s="97"/>
      <c r="K1165" s="97"/>
      <c r="L1165" s="97"/>
      <c r="M1165" s="97"/>
      <c r="N1165" s="97"/>
      <c r="O1165" s="97"/>
      <c r="P1165" s="97"/>
      <c r="Q1165" s="97"/>
      <c r="R1165" s="97"/>
      <c r="S1165" s="97"/>
      <c r="T1165" s="97"/>
      <c r="U1165" s="97"/>
      <c r="V1165" s="97"/>
      <c r="W1165" s="97"/>
      <c r="X1165" s="97"/>
      <c r="Y1165" s="97"/>
      <c r="Z1165" s="97"/>
      <c r="AA1165" s="97"/>
      <c r="AB1165" s="97"/>
      <c r="AC1165" s="97"/>
      <c r="AD1165" s="97"/>
      <c r="AE1165" s="97"/>
      <c r="AF1165" s="97"/>
      <c r="AG1165" s="97"/>
      <c r="AH1165" s="97"/>
      <c r="AI1165" s="97"/>
      <c r="AJ1165" s="97"/>
      <c r="AK1165" s="97"/>
    </row>
    <row r="1166" spans="2:37" s="5" customFormat="1" x14ac:dyDescent="0.25">
      <c r="B1166" s="125"/>
      <c r="C1166" s="126"/>
      <c r="D1166" s="124"/>
      <c r="E1166" s="124"/>
      <c r="F1166" s="9" t="s">
        <v>1442</v>
      </c>
      <c r="G1166" s="124"/>
      <c r="H1166" s="9" t="s">
        <v>1017</v>
      </c>
      <c r="I1166" s="97">
        <f>Datasheet!I101</f>
        <v>123261</v>
      </c>
      <c r="J1166" s="97">
        <f>Datasheet!J101</f>
        <v>15002</v>
      </c>
      <c r="K1166" s="97">
        <f>Datasheet!K101</f>
        <v>32964</v>
      </c>
      <c r="L1166" s="97">
        <f>Datasheet!L101</f>
        <v>96194</v>
      </c>
      <c r="M1166" s="97">
        <f>Datasheet!M101</f>
        <v>186423</v>
      </c>
      <c r="N1166" s="97">
        <f>Datasheet!N101</f>
        <v>190439</v>
      </c>
      <c r="O1166" s="97">
        <f>Datasheet!O101</f>
        <v>7058</v>
      </c>
      <c r="P1166" s="97">
        <f>Datasheet!P101</f>
        <v>3679</v>
      </c>
      <c r="Q1166" s="97">
        <f>Datasheet!Q101</f>
        <v>35591</v>
      </c>
      <c r="R1166" s="97">
        <f>Datasheet!R101</f>
        <v>60687</v>
      </c>
      <c r="S1166" s="97">
        <f>Datasheet!S101</f>
        <v>29958</v>
      </c>
      <c r="T1166" s="97">
        <f>Datasheet!T101</f>
        <v>2503</v>
      </c>
      <c r="U1166" s="97">
        <f>Datasheet!U101</f>
        <v>9584</v>
      </c>
      <c r="V1166" s="97">
        <f>Datasheet!V101</f>
        <v>33481</v>
      </c>
      <c r="W1166" s="97">
        <f>Datasheet!W101</f>
        <v>4267</v>
      </c>
      <c r="X1166" s="97">
        <f>Datasheet!X101</f>
        <v>1282</v>
      </c>
      <c r="Y1166" s="97">
        <f>Datasheet!Y101</f>
        <v>89454</v>
      </c>
      <c r="Z1166" s="97">
        <f>Datasheet!Z101</f>
        <v>63676</v>
      </c>
      <c r="AA1166" s="97">
        <f>Datasheet!AA101</f>
        <v>29914</v>
      </c>
      <c r="AB1166" s="97">
        <f>Datasheet!AB101</f>
        <v>0</v>
      </c>
      <c r="AC1166" s="97">
        <f>Datasheet!AC101</f>
        <v>0</v>
      </c>
      <c r="AD1166" s="97">
        <f>Datasheet!AD101</f>
        <v>0</v>
      </c>
      <c r="AE1166" s="97">
        <f>Datasheet!AE101</f>
        <v>0</v>
      </c>
      <c r="AF1166" s="97">
        <f>Datasheet!AF101</f>
        <v>0</v>
      </c>
      <c r="AG1166" s="97">
        <f>Datasheet!AG101</f>
        <v>0</v>
      </c>
      <c r="AH1166" s="97">
        <f>Datasheet!AH101</f>
        <v>0</v>
      </c>
      <c r="AI1166" s="97">
        <f>Datasheet!AI101</f>
        <v>0</v>
      </c>
      <c r="AJ1166" s="97">
        <f>Datasheet!AJ101</f>
        <v>0</v>
      </c>
      <c r="AK1166" s="97">
        <f>Datasheet!AK101</f>
        <v>0</v>
      </c>
    </row>
    <row r="1167" spans="2:37" s="5" customFormat="1" x14ac:dyDescent="0.25">
      <c r="B1167" s="125"/>
      <c r="C1167" s="126"/>
      <c r="D1167" s="124"/>
      <c r="E1167" s="9"/>
      <c r="F1167" s="9" t="s">
        <v>1444</v>
      </c>
      <c r="G1167" s="124"/>
      <c r="H1167" s="9" t="s">
        <v>1017</v>
      </c>
      <c r="I1167" s="97"/>
      <c r="J1167" s="97"/>
      <c r="K1167" s="97"/>
      <c r="L1167" s="97"/>
      <c r="M1167" s="97"/>
      <c r="N1167" s="97"/>
      <c r="O1167" s="97"/>
      <c r="P1167" s="97"/>
      <c r="Q1167" s="97"/>
      <c r="R1167" s="97">
        <f t="shared" ref="R1167:AK1167" si="177">SUM(I1166:R1166)</f>
        <v>751298</v>
      </c>
      <c r="S1167" s="97">
        <f t="shared" si="177"/>
        <v>657995</v>
      </c>
      <c r="T1167" s="97">
        <f t="shared" si="177"/>
        <v>645496</v>
      </c>
      <c r="U1167" s="97">
        <f t="shared" si="177"/>
        <v>622116</v>
      </c>
      <c r="V1167" s="97">
        <f t="shared" si="177"/>
        <v>559403</v>
      </c>
      <c r="W1167" s="97">
        <f t="shared" si="177"/>
        <v>377247</v>
      </c>
      <c r="X1167" s="97">
        <f t="shared" si="177"/>
        <v>188090</v>
      </c>
      <c r="Y1167" s="97">
        <f t="shared" si="177"/>
        <v>270486</v>
      </c>
      <c r="Z1167" s="97">
        <f t="shared" si="177"/>
        <v>330483</v>
      </c>
      <c r="AA1167" s="97">
        <f t="shared" si="177"/>
        <v>324806</v>
      </c>
      <c r="AB1167" s="97">
        <f t="shared" si="177"/>
        <v>264119</v>
      </c>
      <c r="AC1167" s="97">
        <f t="shared" si="177"/>
        <v>234161</v>
      </c>
      <c r="AD1167" s="97">
        <f t="shared" si="177"/>
        <v>231658</v>
      </c>
      <c r="AE1167" s="97">
        <f t="shared" si="177"/>
        <v>222074</v>
      </c>
      <c r="AF1167" s="97">
        <f t="shared" si="177"/>
        <v>188593</v>
      </c>
      <c r="AG1167" s="97">
        <f t="shared" si="177"/>
        <v>184326</v>
      </c>
      <c r="AH1167" s="97">
        <f t="shared" si="177"/>
        <v>183044</v>
      </c>
      <c r="AI1167" s="97">
        <f t="shared" si="177"/>
        <v>93590</v>
      </c>
      <c r="AJ1167" s="97">
        <f t="shared" si="177"/>
        <v>29914</v>
      </c>
      <c r="AK1167" s="97">
        <f t="shared" si="177"/>
        <v>0</v>
      </c>
    </row>
    <row r="1168" spans="2:37" s="5" customFormat="1" x14ac:dyDescent="0.25">
      <c r="B1168" s="125"/>
      <c r="C1168" s="126"/>
      <c r="D1168" s="124"/>
      <c r="E1168" s="9"/>
      <c r="F1168" s="9" t="s">
        <v>1445</v>
      </c>
      <c r="G1168" s="124"/>
      <c r="H1168" s="9" t="s">
        <v>1017</v>
      </c>
      <c r="I1168" s="97"/>
      <c r="J1168" s="97"/>
      <c r="K1168" s="97"/>
      <c r="L1168" s="97"/>
      <c r="M1168" s="97"/>
      <c r="N1168" s="97"/>
      <c r="O1168" s="97"/>
      <c r="P1168" s="97"/>
      <c r="Q1168" s="97"/>
      <c r="R1168" s="97"/>
      <c r="S1168" s="97"/>
      <c r="T1168" s="97">
        <f>SUM($T1166:T1166)</f>
        <v>2503</v>
      </c>
      <c r="U1168" s="97">
        <f>SUM($T1166:U1166)</f>
        <v>12087</v>
      </c>
      <c r="V1168" s="97">
        <f>SUM($T1166:V1166)</f>
        <v>45568</v>
      </c>
      <c r="W1168" s="97">
        <f>SUM($T1166:W1166)</f>
        <v>49835</v>
      </c>
      <c r="X1168" s="97">
        <f>SUM($T1166:X1166)</f>
        <v>51117</v>
      </c>
      <c r="Y1168" s="97">
        <f>SUM($T1166:Y1166)</f>
        <v>140571</v>
      </c>
      <c r="Z1168" s="97">
        <f>SUM($T1166:Z1166)</f>
        <v>204247</v>
      </c>
      <c r="AA1168" s="97">
        <f>SUM($T1166:AA1166)</f>
        <v>234161</v>
      </c>
      <c r="AB1168" s="97">
        <f>SUM($T1166:AB1166)</f>
        <v>234161</v>
      </c>
      <c r="AC1168" s="97">
        <f>SUM($T1166:AC1166)</f>
        <v>234161</v>
      </c>
      <c r="AD1168" s="97">
        <f>SUM($T1166:AD1166)</f>
        <v>234161</v>
      </c>
      <c r="AE1168" s="97">
        <f>SUM($T1166:AE1166)</f>
        <v>234161</v>
      </c>
      <c r="AF1168" s="97">
        <f>SUM($T1166:AF1166)</f>
        <v>234161</v>
      </c>
      <c r="AG1168" s="97">
        <f>SUM($T1166:AG1166)</f>
        <v>234161</v>
      </c>
      <c r="AH1168" s="97">
        <f>SUM($T1166:AH1166)</f>
        <v>234161</v>
      </c>
      <c r="AI1168" s="97">
        <f>SUM($T1166:AI1166)</f>
        <v>234161</v>
      </c>
      <c r="AJ1168" s="97">
        <f>SUM($T1166:AJ1166)</f>
        <v>234161</v>
      </c>
      <c r="AK1168" s="97">
        <f>SUM($T1166:AK1166)</f>
        <v>234161</v>
      </c>
    </row>
    <row r="1169" spans="2:37" s="5" customFormat="1" x14ac:dyDescent="0.25">
      <c r="B1169" s="125"/>
      <c r="C1169" s="126"/>
      <c r="D1169" s="124"/>
      <c r="E1169" s="9"/>
      <c r="F1169" s="9" t="s">
        <v>1446</v>
      </c>
      <c r="G1169" s="124"/>
      <c r="H1169" s="9" t="s">
        <v>1017</v>
      </c>
      <c r="I1169" s="97"/>
      <c r="J1169" s="97"/>
      <c r="K1169" s="97"/>
      <c r="L1169" s="97"/>
      <c r="M1169" s="97"/>
      <c r="N1169" s="97"/>
      <c r="O1169" s="97"/>
      <c r="P1169" s="97"/>
      <c r="Q1169" s="97"/>
      <c r="R1169" s="97"/>
      <c r="S1169" s="97"/>
      <c r="T1169" s="97"/>
      <c r="U1169" s="97"/>
      <c r="V1169" s="97"/>
      <c r="W1169" s="97"/>
      <c r="X1169" s="97"/>
      <c r="Y1169" s="97"/>
      <c r="Z1169" s="97"/>
      <c r="AA1169" s="97"/>
      <c r="AB1169" s="97">
        <f>SUM($AB1166:AB1166)</f>
        <v>0</v>
      </c>
      <c r="AC1169" s="97">
        <f>SUM($AB1166:AC1166)</f>
        <v>0</v>
      </c>
      <c r="AD1169" s="97">
        <f>SUM($AB1166:AD1166)</f>
        <v>0</v>
      </c>
      <c r="AE1169" s="97">
        <f>SUM($AB1166:AE1166)</f>
        <v>0</v>
      </c>
      <c r="AF1169" s="97">
        <f>SUM($AB1166:AF1166)</f>
        <v>0</v>
      </c>
      <c r="AG1169" s="97">
        <f>SUM($AB1166:AG1166)</f>
        <v>0</v>
      </c>
      <c r="AH1169" s="97">
        <f>SUM($AB1166:AH1166)</f>
        <v>0</v>
      </c>
      <c r="AI1169" s="97">
        <f>SUM($AB1166:AI1166)</f>
        <v>0</v>
      </c>
      <c r="AJ1169" s="97">
        <f>SUM($AB1166:AJ1166)</f>
        <v>0</v>
      </c>
      <c r="AK1169" s="97">
        <f>SUM($AB1166:AK1166)</f>
        <v>0</v>
      </c>
    </row>
    <row r="1170" spans="2:37" s="5" customFormat="1" x14ac:dyDescent="0.25">
      <c r="B1170" s="125"/>
      <c r="C1170" s="126"/>
      <c r="D1170" s="124" t="s">
        <v>38</v>
      </c>
      <c r="E1170" s="109"/>
      <c r="F1170" s="109"/>
      <c r="G1170" s="124"/>
      <c r="H1170" s="124"/>
      <c r="I1170" s="97"/>
      <c r="J1170" s="97"/>
      <c r="K1170" s="97"/>
      <c r="L1170" s="97"/>
      <c r="M1170" s="97"/>
      <c r="N1170" s="97"/>
      <c r="O1170" s="97"/>
      <c r="P1170" s="97"/>
      <c r="Q1170" s="97"/>
      <c r="R1170" s="97"/>
      <c r="S1170" s="97"/>
      <c r="T1170" s="97"/>
      <c r="U1170" s="97"/>
      <c r="V1170" s="97"/>
      <c r="W1170" s="97"/>
      <c r="X1170" s="97"/>
      <c r="Y1170" s="97"/>
      <c r="Z1170" s="97"/>
      <c r="AA1170" s="97"/>
      <c r="AB1170" s="97"/>
      <c r="AC1170" s="97"/>
      <c r="AD1170" s="97"/>
      <c r="AE1170" s="97"/>
      <c r="AF1170" s="97"/>
      <c r="AG1170" s="97"/>
      <c r="AH1170" s="97"/>
      <c r="AI1170" s="97"/>
      <c r="AJ1170" s="97"/>
      <c r="AK1170" s="97"/>
    </row>
    <row r="1171" spans="2:37" s="5" customFormat="1" x14ac:dyDescent="0.25">
      <c r="B1171" s="125"/>
      <c r="C1171" s="126"/>
      <c r="D1171" s="126"/>
      <c r="E1171" s="9" t="s">
        <v>483</v>
      </c>
      <c r="F1171" s="9"/>
      <c r="G1171" s="124"/>
      <c r="H1171" s="9" t="s">
        <v>1016</v>
      </c>
      <c r="I1171" s="127"/>
      <c r="J1171" s="127"/>
      <c r="K1171" s="127"/>
      <c r="L1171" s="127"/>
      <c r="M1171" s="127"/>
      <c r="N1171" s="127"/>
      <c r="O1171" s="127"/>
      <c r="P1171" s="127"/>
      <c r="Q1171" s="127"/>
      <c r="R1171" s="127"/>
      <c r="S1171" s="127"/>
      <c r="T1171" s="127"/>
      <c r="U1171" s="127"/>
      <c r="V1171" s="127"/>
      <c r="W1171" s="127"/>
      <c r="X1171" s="127"/>
      <c r="Y1171" s="127"/>
      <c r="Z1171" s="127"/>
      <c r="AA1171" s="127"/>
      <c r="AB1171" s="127"/>
      <c r="AC1171" s="127"/>
      <c r="AD1171" s="127"/>
      <c r="AE1171" s="127"/>
      <c r="AF1171" s="127"/>
      <c r="AG1171" s="127"/>
      <c r="AH1171" s="127"/>
      <c r="AI1171" s="127"/>
      <c r="AJ1171" s="127"/>
      <c r="AK1171" s="127"/>
    </row>
    <row r="1172" spans="2:37" s="5" customFormat="1" x14ac:dyDescent="0.25">
      <c r="B1172" s="125"/>
      <c r="C1172" s="126"/>
      <c r="D1172" s="126"/>
      <c r="E1172" s="9"/>
      <c r="F1172" s="9" t="s">
        <v>1442</v>
      </c>
      <c r="G1172" s="124"/>
      <c r="H1172" s="9" t="s">
        <v>1016</v>
      </c>
      <c r="I1172" s="97">
        <f>Datasheet!I86</f>
        <v>0</v>
      </c>
      <c r="J1172" s="97">
        <f>Datasheet!J86</f>
        <v>39</v>
      </c>
      <c r="K1172" s="97">
        <f>Datasheet!K86</f>
        <v>49</v>
      </c>
      <c r="L1172" s="97">
        <f>Datasheet!L86</f>
        <v>86</v>
      </c>
      <c r="M1172" s="97">
        <f>Datasheet!M86</f>
        <v>88</v>
      </c>
      <c r="N1172" s="97">
        <f>Datasheet!N86</f>
        <v>54</v>
      </c>
      <c r="O1172" s="97">
        <f>Datasheet!O86</f>
        <v>26</v>
      </c>
      <c r="P1172" s="97">
        <f>Datasheet!P86</f>
        <v>27</v>
      </c>
      <c r="Q1172" s="97">
        <f>Datasheet!Q86</f>
        <v>35</v>
      </c>
      <c r="R1172" s="97">
        <f>Datasheet!R86</f>
        <v>1</v>
      </c>
      <c r="S1172" s="97">
        <f>Datasheet!S86</f>
        <v>26</v>
      </c>
      <c r="T1172" s="97">
        <f>Datasheet!T86</f>
        <v>0</v>
      </c>
      <c r="U1172" s="97">
        <f>Datasheet!U86</f>
        <v>57</v>
      </c>
      <c r="V1172" s="97">
        <f>Datasheet!V86</f>
        <v>0</v>
      </c>
      <c r="W1172" s="97">
        <f>Datasheet!W86</f>
        <v>0</v>
      </c>
      <c r="X1172" s="97">
        <f>Datasheet!X86</f>
        <v>130</v>
      </c>
      <c r="Y1172" s="97">
        <f>Datasheet!Y86</f>
        <v>106</v>
      </c>
      <c r="Z1172" s="97">
        <f>Datasheet!Z86</f>
        <v>3</v>
      </c>
      <c r="AA1172" s="97">
        <f>Datasheet!AA86</f>
        <v>38</v>
      </c>
      <c r="AB1172" s="97">
        <f>Datasheet!AB86</f>
        <v>0</v>
      </c>
      <c r="AC1172" s="97">
        <f>Datasheet!AC86</f>
        <v>0</v>
      </c>
      <c r="AD1172" s="97">
        <f>Datasheet!AD86</f>
        <v>0</v>
      </c>
      <c r="AE1172" s="97">
        <f>Datasheet!AE86</f>
        <v>0</v>
      </c>
      <c r="AF1172" s="97">
        <f>Datasheet!AF86</f>
        <v>0</v>
      </c>
      <c r="AG1172" s="97">
        <f>Datasheet!AG86</f>
        <v>0</v>
      </c>
      <c r="AH1172" s="97">
        <f>Datasheet!AH86</f>
        <v>0</v>
      </c>
      <c r="AI1172" s="97">
        <f>Datasheet!AI86</f>
        <v>0</v>
      </c>
      <c r="AJ1172" s="97">
        <f>Datasheet!AJ86</f>
        <v>0</v>
      </c>
      <c r="AK1172" s="97">
        <f>Datasheet!AK86</f>
        <v>0</v>
      </c>
    </row>
    <row r="1173" spans="2:37" s="5" customFormat="1" x14ac:dyDescent="0.25">
      <c r="B1173" s="125"/>
      <c r="C1173" s="126"/>
      <c r="D1173" s="124"/>
      <c r="E1173" s="9"/>
      <c r="F1173" s="9" t="s">
        <v>1444</v>
      </c>
      <c r="G1173" s="124"/>
      <c r="H1173" s="9" t="s">
        <v>1016</v>
      </c>
      <c r="I1173" s="127"/>
      <c r="J1173" s="127"/>
      <c r="K1173" s="127"/>
      <c r="L1173" s="127"/>
      <c r="M1173" s="127"/>
      <c r="N1173" s="127"/>
      <c r="O1173" s="127"/>
      <c r="P1173" s="127"/>
      <c r="Q1173" s="127"/>
      <c r="R1173" s="97">
        <f t="shared" ref="R1173:AK1173" si="178">SUM(I1172:R1172)</f>
        <v>405</v>
      </c>
      <c r="S1173" s="97">
        <f t="shared" si="178"/>
        <v>431</v>
      </c>
      <c r="T1173" s="97">
        <f t="shared" si="178"/>
        <v>392</v>
      </c>
      <c r="U1173" s="97">
        <f t="shared" si="178"/>
        <v>400</v>
      </c>
      <c r="V1173" s="97">
        <f t="shared" si="178"/>
        <v>314</v>
      </c>
      <c r="W1173" s="97">
        <f t="shared" si="178"/>
        <v>226</v>
      </c>
      <c r="X1173" s="97">
        <f t="shared" si="178"/>
        <v>302</v>
      </c>
      <c r="Y1173" s="97">
        <f t="shared" si="178"/>
        <v>382</v>
      </c>
      <c r="Z1173" s="97">
        <f t="shared" si="178"/>
        <v>358</v>
      </c>
      <c r="AA1173" s="97">
        <f t="shared" si="178"/>
        <v>361</v>
      </c>
      <c r="AB1173" s="97">
        <f t="shared" si="178"/>
        <v>360</v>
      </c>
      <c r="AC1173" s="97">
        <f t="shared" si="178"/>
        <v>334</v>
      </c>
      <c r="AD1173" s="97">
        <f t="shared" si="178"/>
        <v>334</v>
      </c>
      <c r="AE1173" s="97">
        <f t="shared" si="178"/>
        <v>277</v>
      </c>
      <c r="AF1173" s="97">
        <f t="shared" si="178"/>
        <v>277</v>
      </c>
      <c r="AG1173" s="97">
        <f t="shared" si="178"/>
        <v>277</v>
      </c>
      <c r="AH1173" s="97">
        <f t="shared" si="178"/>
        <v>147</v>
      </c>
      <c r="AI1173" s="97">
        <f t="shared" si="178"/>
        <v>41</v>
      </c>
      <c r="AJ1173" s="97">
        <f t="shared" si="178"/>
        <v>38</v>
      </c>
      <c r="AK1173" s="97">
        <f t="shared" si="178"/>
        <v>0</v>
      </c>
    </row>
    <row r="1174" spans="2:37" s="5" customFormat="1" x14ac:dyDescent="0.25">
      <c r="B1174" s="125"/>
      <c r="C1174" s="126"/>
      <c r="D1174" s="124"/>
      <c r="E1174" s="9"/>
      <c r="F1174" s="9" t="s">
        <v>1445</v>
      </c>
      <c r="G1174" s="124"/>
      <c r="H1174" s="9" t="s">
        <v>1016</v>
      </c>
      <c r="I1174" s="127"/>
      <c r="J1174" s="127"/>
      <c r="K1174" s="127"/>
      <c r="L1174" s="127"/>
      <c r="M1174" s="127"/>
      <c r="N1174" s="127"/>
      <c r="O1174" s="127"/>
      <c r="P1174" s="127"/>
      <c r="Q1174" s="127"/>
      <c r="R1174" s="97"/>
      <c r="S1174" s="97"/>
      <c r="T1174" s="97">
        <f>SUM($T1172:T1172)</f>
        <v>0</v>
      </c>
      <c r="U1174" s="97">
        <f>SUM($T1172:U1172)</f>
        <v>57</v>
      </c>
      <c r="V1174" s="97">
        <f>SUM($T1172:V1172)</f>
        <v>57</v>
      </c>
      <c r="W1174" s="97">
        <f>SUM($T1172:W1172)</f>
        <v>57</v>
      </c>
      <c r="X1174" s="97">
        <f>SUM($T1172:X1172)</f>
        <v>187</v>
      </c>
      <c r="Y1174" s="97">
        <f>SUM($T1172:Y1172)</f>
        <v>293</v>
      </c>
      <c r="Z1174" s="97">
        <f>SUM($T1172:Z1172)</f>
        <v>296</v>
      </c>
      <c r="AA1174" s="97">
        <f>SUM($T1172:AA1172)</f>
        <v>334</v>
      </c>
      <c r="AB1174" s="97">
        <f>SUM($T1172:AB1172)</f>
        <v>334</v>
      </c>
      <c r="AC1174" s="97">
        <f>SUM($T1172:AC1172)</f>
        <v>334</v>
      </c>
      <c r="AD1174" s="97">
        <f>SUM($T1172:AD1172)</f>
        <v>334</v>
      </c>
      <c r="AE1174" s="97">
        <f>SUM($T1172:AE1172)</f>
        <v>334</v>
      </c>
      <c r="AF1174" s="97">
        <f>SUM($T1172:AF1172)</f>
        <v>334</v>
      </c>
      <c r="AG1174" s="97">
        <f>SUM($T1172:AG1172)</f>
        <v>334</v>
      </c>
      <c r="AH1174" s="97">
        <f>SUM($T1172:AH1172)</f>
        <v>334</v>
      </c>
      <c r="AI1174" s="97">
        <f>SUM($T1172:AI1172)</f>
        <v>334</v>
      </c>
      <c r="AJ1174" s="97">
        <f>SUM($T1172:AJ1172)</f>
        <v>334</v>
      </c>
      <c r="AK1174" s="97">
        <f>SUM($T1172:AK1172)</f>
        <v>334</v>
      </c>
    </row>
    <row r="1175" spans="2:37" s="5" customFormat="1" x14ac:dyDescent="0.25">
      <c r="B1175" s="125"/>
      <c r="C1175" s="126"/>
      <c r="D1175" s="124"/>
      <c r="E1175" s="9"/>
      <c r="F1175" s="9" t="s">
        <v>1446</v>
      </c>
      <c r="G1175" s="124"/>
      <c r="H1175" s="9" t="s">
        <v>1016</v>
      </c>
      <c r="I1175" s="127"/>
      <c r="J1175" s="127"/>
      <c r="K1175" s="127"/>
      <c r="L1175" s="127"/>
      <c r="M1175" s="127"/>
      <c r="N1175" s="127"/>
      <c r="O1175" s="127"/>
      <c r="P1175" s="127"/>
      <c r="Q1175" s="127"/>
      <c r="R1175" s="97"/>
      <c r="S1175" s="97"/>
      <c r="T1175" s="97"/>
      <c r="U1175" s="97"/>
      <c r="V1175" s="97"/>
      <c r="W1175" s="97"/>
      <c r="X1175" s="97"/>
      <c r="Y1175" s="97"/>
      <c r="Z1175" s="97"/>
      <c r="AA1175" s="97"/>
      <c r="AB1175" s="97">
        <f>SUM($AB1172:AB1172)</f>
        <v>0</v>
      </c>
      <c r="AC1175" s="97">
        <f>SUM($AB1172:AC1172)</f>
        <v>0</v>
      </c>
      <c r="AD1175" s="97">
        <f>SUM($AB1172:AD1172)</f>
        <v>0</v>
      </c>
      <c r="AE1175" s="97">
        <f>SUM($AB1172:AE1172)</f>
        <v>0</v>
      </c>
      <c r="AF1175" s="97">
        <f>SUM($AB1172:AF1172)</f>
        <v>0</v>
      </c>
      <c r="AG1175" s="97">
        <f>SUM($AB1172:AG1172)</f>
        <v>0</v>
      </c>
      <c r="AH1175" s="97">
        <f>SUM($AB1172:AH1172)</f>
        <v>0</v>
      </c>
      <c r="AI1175" s="97">
        <f>SUM($AB1172:AI1172)</f>
        <v>0</v>
      </c>
      <c r="AJ1175" s="97">
        <f>SUM($AB1172:AJ1172)</f>
        <v>0</v>
      </c>
      <c r="AK1175" s="97">
        <f>SUM($AB1172:AK1172)</f>
        <v>0</v>
      </c>
    </row>
    <row r="1176" spans="2:37" s="5" customFormat="1" x14ac:dyDescent="0.25">
      <c r="B1176" s="125"/>
      <c r="C1176" s="126"/>
      <c r="D1176" s="124" t="s">
        <v>234</v>
      </c>
      <c r="E1176" s="124"/>
      <c r="F1176" s="124"/>
      <c r="G1176" s="124"/>
      <c r="H1176" s="124"/>
      <c r="I1176" s="124"/>
      <c r="J1176" s="127"/>
      <c r="K1176" s="127"/>
      <c r="L1176" s="127"/>
      <c r="M1176" s="127"/>
      <c r="N1176" s="127"/>
      <c r="O1176" s="127"/>
      <c r="P1176" s="127"/>
      <c r="Q1176" s="127"/>
      <c r="R1176" s="127"/>
      <c r="S1176" s="127"/>
      <c r="T1176" s="127"/>
      <c r="U1176" s="127"/>
      <c r="V1176" s="127"/>
      <c r="W1176" s="127"/>
      <c r="X1176" s="127"/>
      <c r="Y1176" s="127"/>
      <c r="Z1176" s="127"/>
      <c r="AA1176" s="127"/>
      <c r="AB1176" s="127"/>
      <c r="AC1176" s="127"/>
      <c r="AD1176" s="127"/>
      <c r="AE1176" s="127"/>
      <c r="AF1176" s="127"/>
      <c r="AG1176" s="127"/>
      <c r="AH1176" s="127"/>
      <c r="AI1176" s="127"/>
      <c r="AJ1176" s="127"/>
      <c r="AK1176" s="127"/>
    </row>
    <row r="1177" spans="2:37" s="5" customFormat="1" x14ac:dyDescent="0.25">
      <c r="B1177" s="125"/>
      <c r="C1177" s="126"/>
      <c r="D1177" s="124"/>
      <c r="E1177" s="124"/>
      <c r="F1177" s="124" t="s">
        <v>1442</v>
      </c>
      <c r="G1177" s="124"/>
      <c r="H1177" s="124" t="s">
        <v>1015</v>
      </c>
      <c r="I1177" s="127">
        <f>SUM(I1182,I1187,I1192,I1197)</f>
        <v>62</v>
      </c>
      <c r="J1177" s="127">
        <f t="shared" ref="J1177:AK1177" si="179">SUM(J1182,J1187,J1192,J1197)</f>
        <v>187</v>
      </c>
      <c r="K1177" s="127">
        <f t="shared" si="179"/>
        <v>321</v>
      </c>
      <c r="L1177" s="127">
        <f t="shared" si="179"/>
        <v>156</v>
      </c>
      <c r="M1177" s="127">
        <f t="shared" si="179"/>
        <v>256</v>
      </c>
      <c r="N1177" s="127">
        <f t="shared" si="179"/>
        <v>165</v>
      </c>
      <c r="O1177" s="127">
        <f t="shared" si="179"/>
        <v>165</v>
      </c>
      <c r="P1177" s="127">
        <f t="shared" si="179"/>
        <v>180</v>
      </c>
      <c r="Q1177" s="127">
        <f t="shared" si="179"/>
        <v>170</v>
      </c>
      <c r="R1177" s="127">
        <f t="shared" si="179"/>
        <v>68</v>
      </c>
      <c r="S1177" s="127">
        <f t="shared" si="179"/>
        <v>67</v>
      </c>
      <c r="T1177" s="127">
        <f t="shared" si="179"/>
        <v>63</v>
      </c>
      <c r="U1177" s="127">
        <f t="shared" si="179"/>
        <v>104</v>
      </c>
      <c r="V1177" s="127">
        <f t="shared" si="179"/>
        <v>127</v>
      </c>
      <c r="W1177" s="127">
        <f t="shared" si="179"/>
        <v>133</v>
      </c>
      <c r="X1177" s="127">
        <f t="shared" si="179"/>
        <v>126</v>
      </c>
      <c r="Y1177" s="127">
        <f t="shared" si="179"/>
        <v>179</v>
      </c>
      <c r="Z1177" s="127">
        <f t="shared" si="179"/>
        <v>218</v>
      </c>
      <c r="AA1177" s="127">
        <f>SUM(AA1182,AA1187,AA1192,AA1197)</f>
        <v>218</v>
      </c>
      <c r="AB1177" s="127">
        <f t="shared" si="179"/>
        <v>0</v>
      </c>
      <c r="AC1177" s="127">
        <f t="shared" si="179"/>
        <v>0</v>
      </c>
      <c r="AD1177" s="127">
        <f t="shared" si="179"/>
        <v>0</v>
      </c>
      <c r="AE1177" s="127">
        <f t="shared" si="179"/>
        <v>0</v>
      </c>
      <c r="AF1177" s="127">
        <f t="shared" si="179"/>
        <v>0</v>
      </c>
      <c r="AG1177" s="127">
        <f t="shared" si="179"/>
        <v>0</v>
      </c>
      <c r="AH1177" s="127">
        <f t="shared" si="179"/>
        <v>0</v>
      </c>
      <c r="AI1177" s="127">
        <f t="shared" si="179"/>
        <v>0</v>
      </c>
      <c r="AJ1177" s="127">
        <f t="shared" si="179"/>
        <v>0</v>
      </c>
      <c r="AK1177" s="127">
        <f t="shared" si="179"/>
        <v>0</v>
      </c>
    </row>
    <row r="1178" spans="2:37" s="5" customFormat="1" x14ac:dyDescent="0.25">
      <c r="B1178" s="125"/>
      <c r="C1178" s="126"/>
      <c r="D1178" s="124"/>
      <c r="E1178" s="124"/>
      <c r="F1178" s="124" t="s">
        <v>1444</v>
      </c>
      <c r="G1178" s="124"/>
      <c r="H1178" s="124" t="s">
        <v>1015</v>
      </c>
      <c r="I1178" s="127"/>
      <c r="J1178" s="127"/>
      <c r="K1178" s="127"/>
      <c r="L1178" s="127"/>
      <c r="M1178" s="127"/>
      <c r="N1178" s="127"/>
      <c r="O1178" s="127"/>
      <c r="P1178" s="127"/>
      <c r="Q1178" s="127"/>
      <c r="R1178" s="127">
        <f t="shared" ref="R1178:AK1178" si="180">SUM(I1177:R1177)</f>
        <v>1730</v>
      </c>
      <c r="S1178" s="127">
        <f t="shared" si="180"/>
        <v>1735</v>
      </c>
      <c r="T1178" s="127">
        <f t="shared" si="180"/>
        <v>1611</v>
      </c>
      <c r="U1178" s="127">
        <f t="shared" si="180"/>
        <v>1394</v>
      </c>
      <c r="V1178" s="127">
        <f t="shared" si="180"/>
        <v>1365</v>
      </c>
      <c r="W1178" s="127">
        <f t="shared" si="180"/>
        <v>1242</v>
      </c>
      <c r="X1178" s="127">
        <f t="shared" si="180"/>
        <v>1203</v>
      </c>
      <c r="Y1178" s="127">
        <f t="shared" si="180"/>
        <v>1217</v>
      </c>
      <c r="Z1178" s="127">
        <f t="shared" si="180"/>
        <v>1255</v>
      </c>
      <c r="AA1178" s="127">
        <f t="shared" si="180"/>
        <v>1303</v>
      </c>
      <c r="AB1178" s="127">
        <f t="shared" si="180"/>
        <v>1235</v>
      </c>
      <c r="AC1178" s="127">
        <f t="shared" si="180"/>
        <v>1168</v>
      </c>
      <c r="AD1178" s="127">
        <f t="shared" si="180"/>
        <v>1105</v>
      </c>
      <c r="AE1178" s="127">
        <f t="shared" si="180"/>
        <v>1001</v>
      </c>
      <c r="AF1178" s="127">
        <f t="shared" si="180"/>
        <v>874</v>
      </c>
      <c r="AG1178" s="127">
        <f t="shared" si="180"/>
        <v>741</v>
      </c>
      <c r="AH1178" s="127">
        <f t="shared" si="180"/>
        <v>615</v>
      </c>
      <c r="AI1178" s="127">
        <f t="shared" si="180"/>
        <v>436</v>
      </c>
      <c r="AJ1178" s="127">
        <f t="shared" si="180"/>
        <v>218</v>
      </c>
      <c r="AK1178" s="127">
        <f t="shared" si="180"/>
        <v>0</v>
      </c>
    </row>
    <row r="1179" spans="2:37" s="5" customFormat="1" x14ac:dyDescent="0.25">
      <c r="B1179" s="125"/>
      <c r="C1179" s="126"/>
      <c r="D1179" s="124"/>
      <c r="E1179" s="124"/>
      <c r="F1179" s="124" t="s">
        <v>1445</v>
      </c>
      <c r="G1179" s="124"/>
      <c r="H1179" s="124" t="s">
        <v>1015</v>
      </c>
      <c r="I1179" s="127"/>
      <c r="J1179" s="127"/>
      <c r="K1179" s="127"/>
      <c r="L1179" s="127"/>
      <c r="M1179" s="127"/>
      <c r="N1179" s="127"/>
      <c r="O1179" s="127"/>
      <c r="P1179" s="127"/>
      <c r="Q1179" s="127"/>
      <c r="R1179" s="127"/>
      <c r="S1179" s="127"/>
      <c r="T1179" s="127">
        <f>SUM($T1177:T1177)</f>
        <v>63</v>
      </c>
      <c r="U1179" s="127">
        <f>SUM($T1177:U1177)</f>
        <v>167</v>
      </c>
      <c r="V1179" s="127">
        <f>SUM($T1177:V1177)</f>
        <v>294</v>
      </c>
      <c r="W1179" s="127">
        <f>SUM($T1177:W1177)</f>
        <v>427</v>
      </c>
      <c r="X1179" s="127">
        <f>SUM($T1177:X1177)</f>
        <v>553</v>
      </c>
      <c r="Y1179" s="127">
        <f>SUM($T1177:Y1177)</f>
        <v>732</v>
      </c>
      <c r="Z1179" s="127">
        <f>SUM($T1177:Z1177)</f>
        <v>950</v>
      </c>
      <c r="AA1179" s="127">
        <f>SUM($T1177:AA1177)</f>
        <v>1168</v>
      </c>
      <c r="AB1179" s="127">
        <f>SUM($T1177:AB1177)</f>
        <v>1168</v>
      </c>
      <c r="AC1179" s="127">
        <f>SUM($T1177:AC1177)</f>
        <v>1168</v>
      </c>
      <c r="AD1179" s="127">
        <f>SUM($T1177:AD1177)</f>
        <v>1168</v>
      </c>
      <c r="AE1179" s="127">
        <f>SUM($T1177:AE1177)</f>
        <v>1168</v>
      </c>
      <c r="AF1179" s="127">
        <f>SUM($T1177:AF1177)</f>
        <v>1168</v>
      </c>
      <c r="AG1179" s="127">
        <f>SUM($T1177:AG1177)</f>
        <v>1168</v>
      </c>
      <c r="AH1179" s="127">
        <f>SUM($T1177:AH1177)</f>
        <v>1168</v>
      </c>
      <c r="AI1179" s="127">
        <f>SUM($T1177:AI1177)</f>
        <v>1168</v>
      </c>
      <c r="AJ1179" s="127">
        <f>SUM($T1177:AJ1177)</f>
        <v>1168</v>
      </c>
      <c r="AK1179" s="127">
        <f>SUM($T1177:AK1177)</f>
        <v>1168</v>
      </c>
    </row>
    <row r="1180" spans="2:37" s="5" customFormat="1" x14ac:dyDescent="0.25">
      <c r="B1180" s="125"/>
      <c r="C1180" s="126"/>
      <c r="D1180" s="124"/>
      <c r="E1180" s="124"/>
      <c r="F1180" s="124" t="s">
        <v>1446</v>
      </c>
      <c r="G1180" s="124"/>
      <c r="H1180" s="124" t="s">
        <v>1015</v>
      </c>
      <c r="I1180" s="127"/>
      <c r="J1180" s="127"/>
      <c r="K1180" s="127"/>
      <c r="L1180" s="127"/>
      <c r="M1180" s="127"/>
      <c r="N1180" s="127"/>
      <c r="O1180" s="127"/>
      <c r="P1180" s="127"/>
      <c r="Q1180" s="127"/>
      <c r="R1180" s="127"/>
      <c r="S1180" s="127"/>
      <c r="T1180" s="127"/>
      <c r="U1180" s="127"/>
      <c r="V1180" s="127"/>
      <c r="W1180" s="127"/>
      <c r="X1180" s="127"/>
      <c r="Y1180" s="127"/>
      <c r="Z1180" s="127"/>
      <c r="AA1180" s="127"/>
      <c r="AB1180" s="127">
        <f>SUM($AB1177:AB1177)</f>
        <v>0</v>
      </c>
      <c r="AC1180" s="127">
        <f>SUM($AB1177:AC1177)</f>
        <v>0</v>
      </c>
      <c r="AD1180" s="127">
        <f>SUM($AB1177:AD1177)</f>
        <v>0</v>
      </c>
      <c r="AE1180" s="127">
        <f>SUM($AB1177:AE1177)</f>
        <v>0</v>
      </c>
      <c r="AF1180" s="127">
        <f>SUM($AB1177:AF1177)</f>
        <v>0</v>
      </c>
      <c r="AG1180" s="127">
        <f>SUM($AB1177:AG1177)</f>
        <v>0</v>
      </c>
      <c r="AH1180" s="127">
        <f>SUM($AB1177:AH1177)</f>
        <v>0</v>
      </c>
      <c r="AI1180" s="127">
        <f>SUM($AB1177:AI1177)</f>
        <v>0</v>
      </c>
      <c r="AJ1180" s="127">
        <f>SUM($AB1177:AJ1177)</f>
        <v>0</v>
      </c>
      <c r="AK1180" s="127">
        <f>SUM($AB1177:AK1177)</f>
        <v>0</v>
      </c>
    </row>
    <row r="1181" spans="2:37" s="5" customFormat="1" x14ac:dyDescent="0.25">
      <c r="B1181" s="125"/>
      <c r="C1181" s="126"/>
      <c r="D1181" s="126"/>
      <c r="E1181" s="9" t="s">
        <v>1447</v>
      </c>
      <c r="F1181" s="9"/>
      <c r="G1181" s="124"/>
      <c r="H1181" s="124"/>
      <c r="I1181" s="127"/>
      <c r="J1181" s="127"/>
      <c r="K1181" s="127"/>
      <c r="L1181" s="127"/>
      <c r="M1181" s="127"/>
      <c r="N1181" s="127"/>
      <c r="O1181" s="127"/>
      <c r="P1181" s="127"/>
      <c r="Q1181" s="127"/>
      <c r="R1181" s="97"/>
      <c r="S1181" s="86"/>
      <c r="T1181" s="97"/>
      <c r="U1181" s="97"/>
      <c r="V1181" s="97"/>
      <c r="W1181" s="97"/>
      <c r="X1181" s="97"/>
      <c r="Y1181" s="97"/>
      <c r="Z1181" s="97"/>
      <c r="AA1181" s="97"/>
      <c r="AB1181" s="97"/>
      <c r="AC1181" s="97"/>
      <c r="AD1181" s="97"/>
      <c r="AE1181" s="97"/>
      <c r="AF1181" s="97"/>
      <c r="AG1181" s="97"/>
      <c r="AH1181" s="97"/>
      <c r="AI1181" s="97"/>
      <c r="AJ1181" s="97"/>
      <c r="AK1181" s="97"/>
    </row>
    <row r="1182" spans="2:37" s="5" customFormat="1" x14ac:dyDescent="0.25">
      <c r="B1182" s="125"/>
      <c r="C1182" s="126"/>
      <c r="D1182" s="126"/>
      <c r="E1182" s="9"/>
      <c r="F1182" s="9" t="s">
        <v>1442</v>
      </c>
      <c r="G1182" s="124"/>
      <c r="H1182" s="9" t="s">
        <v>1015</v>
      </c>
      <c r="I1182" s="97">
        <f>Datasheet!I73</f>
        <v>43</v>
      </c>
      <c r="J1182" s="97">
        <f>Datasheet!J73</f>
        <v>111</v>
      </c>
      <c r="K1182" s="97">
        <f>Datasheet!K73</f>
        <v>83</v>
      </c>
      <c r="L1182" s="97">
        <f>Datasheet!L73</f>
        <v>91</v>
      </c>
      <c r="M1182" s="97">
        <f>Datasheet!M73</f>
        <v>130</v>
      </c>
      <c r="N1182" s="97">
        <f>Datasheet!N73</f>
        <v>102</v>
      </c>
      <c r="O1182" s="97">
        <f>Datasheet!O73</f>
        <v>131</v>
      </c>
      <c r="P1182" s="97">
        <f>Datasheet!P73</f>
        <v>90</v>
      </c>
      <c r="Q1182" s="97">
        <f>Datasheet!Q73</f>
        <v>96</v>
      </c>
      <c r="R1182" s="97">
        <f>Datasheet!R73</f>
        <v>45</v>
      </c>
      <c r="S1182" s="97">
        <f>Datasheet!S73</f>
        <v>49</v>
      </c>
      <c r="T1182" s="97">
        <f>Datasheet!T73</f>
        <v>48</v>
      </c>
      <c r="U1182" s="97">
        <f>Datasheet!U73</f>
        <v>54</v>
      </c>
      <c r="V1182" s="97">
        <f>Datasheet!V73</f>
        <v>94</v>
      </c>
      <c r="W1182" s="97">
        <f>Datasheet!W73</f>
        <v>84</v>
      </c>
      <c r="X1182" s="97">
        <f>Datasheet!X73</f>
        <v>97</v>
      </c>
      <c r="Y1182" s="97">
        <f>Datasheet!Y73</f>
        <v>103</v>
      </c>
      <c r="Z1182" s="97">
        <f>Datasheet!Z73</f>
        <v>103</v>
      </c>
      <c r="AA1182" s="97">
        <f>Datasheet!AA73</f>
        <v>84</v>
      </c>
      <c r="AB1182" s="97">
        <f>Datasheet!AB73</f>
        <v>0</v>
      </c>
      <c r="AC1182" s="97">
        <f>Datasheet!AC73</f>
        <v>0</v>
      </c>
      <c r="AD1182" s="97">
        <f>Datasheet!AD73</f>
        <v>0</v>
      </c>
      <c r="AE1182" s="97">
        <f>Datasheet!AE73</f>
        <v>0</v>
      </c>
      <c r="AF1182" s="97">
        <f>Datasheet!AF73</f>
        <v>0</v>
      </c>
      <c r="AG1182" s="97">
        <f>Datasheet!AG73</f>
        <v>0</v>
      </c>
      <c r="AH1182" s="97">
        <f>Datasheet!AH73</f>
        <v>0</v>
      </c>
      <c r="AI1182" s="97">
        <f>Datasheet!AI73</f>
        <v>0</v>
      </c>
      <c r="AJ1182" s="97">
        <f>Datasheet!AJ73</f>
        <v>0</v>
      </c>
      <c r="AK1182" s="97">
        <f>Datasheet!AK73</f>
        <v>0</v>
      </c>
    </row>
    <row r="1183" spans="2:37" s="5" customFormat="1" x14ac:dyDescent="0.25">
      <c r="B1183" s="125"/>
      <c r="C1183" s="126"/>
      <c r="D1183" s="124"/>
      <c r="E1183" s="9"/>
      <c r="F1183" s="9" t="s">
        <v>1444</v>
      </c>
      <c r="G1183" s="124"/>
      <c r="H1183" s="9" t="s">
        <v>1015</v>
      </c>
      <c r="I1183" s="97"/>
      <c r="J1183" s="97"/>
      <c r="K1183" s="97"/>
      <c r="L1183" s="97"/>
      <c r="M1183" s="97"/>
      <c r="N1183" s="97"/>
      <c r="O1183" s="97"/>
      <c r="P1183" s="97"/>
      <c r="Q1183" s="97"/>
      <c r="R1183" s="97">
        <f t="shared" ref="R1183:AK1183" si="181">SUM(I1182:R1182)</f>
        <v>922</v>
      </c>
      <c r="S1183" s="97">
        <f t="shared" si="181"/>
        <v>928</v>
      </c>
      <c r="T1183" s="97">
        <f t="shared" si="181"/>
        <v>865</v>
      </c>
      <c r="U1183" s="97">
        <f t="shared" si="181"/>
        <v>836</v>
      </c>
      <c r="V1183" s="97">
        <f t="shared" si="181"/>
        <v>839</v>
      </c>
      <c r="W1183" s="97">
        <f t="shared" si="181"/>
        <v>793</v>
      </c>
      <c r="X1183" s="97">
        <f t="shared" si="181"/>
        <v>788</v>
      </c>
      <c r="Y1183" s="97">
        <f t="shared" si="181"/>
        <v>760</v>
      </c>
      <c r="Z1183" s="97">
        <f t="shared" si="181"/>
        <v>773</v>
      </c>
      <c r="AA1183" s="97">
        <f t="shared" si="181"/>
        <v>761</v>
      </c>
      <c r="AB1183" s="97">
        <f t="shared" si="181"/>
        <v>716</v>
      </c>
      <c r="AC1183" s="97">
        <f t="shared" si="181"/>
        <v>667</v>
      </c>
      <c r="AD1183" s="97">
        <f t="shared" si="181"/>
        <v>619</v>
      </c>
      <c r="AE1183" s="97">
        <f t="shared" si="181"/>
        <v>565</v>
      </c>
      <c r="AF1183" s="97">
        <f t="shared" si="181"/>
        <v>471</v>
      </c>
      <c r="AG1183" s="97">
        <f t="shared" si="181"/>
        <v>387</v>
      </c>
      <c r="AH1183" s="97">
        <f t="shared" si="181"/>
        <v>290</v>
      </c>
      <c r="AI1183" s="97">
        <f t="shared" si="181"/>
        <v>187</v>
      </c>
      <c r="AJ1183" s="97">
        <f t="shared" si="181"/>
        <v>84</v>
      </c>
      <c r="AK1183" s="97">
        <f t="shared" si="181"/>
        <v>0</v>
      </c>
    </row>
    <row r="1184" spans="2:37" s="5" customFormat="1" x14ac:dyDescent="0.25">
      <c r="B1184" s="125"/>
      <c r="C1184" s="126"/>
      <c r="D1184" s="124"/>
      <c r="E1184" s="9"/>
      <c r="F1184" s="9" t="s">
        <v>1445</v>
      </c>
      <c r="G1184" s="124"/>
      <c r="H1184" s="9" t="s">
        <v>1015</v>
      </c>
      <c r="I1184" s="97"/>
      <c r="J1184" s="97"/>
      <c r="K1184" s="97"/>
      <c r="L1184" s="97"/>
      <c r="M1184" s="97"/>
      <c r="N1184" s="97"/>
      <c r="O1184" s="97"/>
      <c r="P1184" s="97"/>
      <c r="Q1184" s="97"/>
      <c r="R1184" s="97"/>
      <c r="S1184" s="97"/>
      <c r="T1184" s="97">
        <f>SUM($T1182:T1182)</f>
        <v>48</v>
      </c>
      <c r="U1184" s="97">
        <f>SUM($T1182:U1182)</f>
        <v>102</v>
      </c>
      <c r="V1184" s="97">
        <f>SUM($T1182:V1182)</f>
        <v>196</v>
      </c>
      <c r="W1184" s="97">
        <f>SUM($T1182:W1182)</f>
        <v>280</v>
      </c>
      <c r="X1184" s="97">
        <f>SUM($T1182:X1182)</f>
        <v>377</v>
      </c>
      <c r="Y1184" s="97">
        <f>SUM($T1182:Y1182)</f>
        <v>480</v>
      </c>
      <c r="Z1184" s="97">
        <f>SUM($T1182:Z1182)</f>
        <v>583</v>
      </c>
      <c r="AA1184" s="97">
        <f>SUM($T1182:AA1182)</f>
        <v>667</v>
      </c>
      <c r="AB1184" s="97">
        <f>SUM($T1182:AB1182)</f>
        <v>667</v>
      </c>
      <c r="AC1184" s="97">
        <f>SUM($T1182:AC1182)</f>
        <v>667</v>
      </c>
      <c r="AD1184" s="97">
        <f>SUM($T1182:AD1182)</f>
        <v>667</v>
      </c>
      <c r="AE1184" s="97">
        <f>SUM($T1182:AE1182)</f>
        <v>667</v>
      </c>
      <c r="AF1184" s="97">
        <f>SUM($T1182:AF1182)</f>
        <v>667</v>
      </c>
      <c r="AG1184" s="97">
        <f>SUM($T1182:AG1182)</f>
        <v>667</v>
      </c>
      <c r="AH1184" s="97">
        <f>SUM($T1182:AH1182)</f>
        <v>667</v>
      </c>
      <c r="AI1184" s="97">
        <f>SUM($T1182:AI1182)</f>
        <v>667</v>
      </c>
      <c r="AJ1184" s="97">
        <f>SUM($T1182:AJ1182)</f>
        <v>667</v>
      </c>
      <c r="AK1184" s="97">
        <f>SUM($T1182:AK1182)</f>
        <v>667</v>
      </c>
    </row>
    <row r="1185" spans="2:37" s="5" customFormat="1" x14ac:dyDescent="0.25">
      <c r="B1185" s="125"/>
      <c r="C1185" s="126"/>
      <c r="D1185" s="124"/>
      <c r="E1185" s="9"/>
      <c r="F1185" s="9" t="s">
        <v>1446</v>
      </c>
      <c r="G1185" s="124"/>
      <c r="H1185" s="9" t="s">
        <v>1015</v>
      </c>
      <c r="I1185" s="97"/>
      <c r="J1185" s="97"/>
      <c r="K1185" s="97"/>
      <c r="L1185" s="97"/>
      <c r="M1185" s="97"/>
      <c r="N1185" s="97"/>
      <c r="O1185" s="97"/>
      <c r="P1185" s="97"/>
      <c r="Q1185" s="97"/>
      <c r="R1185" s="97"/>
      <c r="S1185" s="97"/>
      <c r="T1185" s="97"/>
      <c r="U1185" s="97"/>
      <c r="V1185" s="97"/>
      <c r="W1185" s="97"/>
      <c r="X1185" s="97"/>
      <c r="Y1185" s="97"/>
      <c r="Z1185" s="97"/>
      <c r="AA1185" s="97"/>
      <c r="AB1185" s="97">
        <f>SUM($AB1182:AB1182)</f>
        <v>0</v>
      </c>
      <c r="AC1185" s="97">
        <f>SUM($AB1182:AC1182)</f>
        <v>0</v>
      </c>
      <c r="AD1185" s="97">
        <f>SUM($AB1182:AD1182)</f>
        <v>0</v>
      </c>
      <c r="AE1185" s="97">
        <f>SUM($AB1182:AE1182)</f>
        <v>0</v>
      </c>
      <c r="AF1185" s="97">
        <f>SUM($AB1182:AF1182)</f>
        <v>0</v>
      </c>
      <c r="AG1185" s="97">
        <f>SUM($AB1182:AG1182)</f>
        <v>0</v>
      </c>
      <c r="AH1185" s="97">
        <f>SUM($AB1182:AH1182)</f>
        <v>0</v>
      </c>
      <c r="AI1185" s="97">
        <f>SUM($AB1182:AI1182)</f>
        <v>0</v>
      </c>
      <c r="AJ1185" s="97">
        <f>SUM($AB1182:AJ1182)</f>
        <v>0</v>
      </c>
      <c r="AK1185" s="97">
        <f>SUM($AB1182:AK1182)</f>
        <v>0</v>
      </c>
    </row>
    <row r="1186" spans="2:37" s="5" customFormat="1" x14ac:dyDescent="0.25">
      <c r="B1186" s="125"/>
      <c r="C1186" s="126"/>
      <c r="D1186" s="124"/>
      <c r="E1186" s="9" t="s">
        <v>1623</v>
      </c>
      <c r="F1186" s="9"/>
      <c r="G1186" s="124"/>
      <c r="H1186" s="124"/>
      <c r="I1186" s="97"/>
      <c r="J1186" s="97"/>
      <c r="K1186" s="97"/>
      <c r="L1186" s="97"/>
      <c r="M1186" s="97"/>
      <c r="N1186" s="97"/>
      <c r="O1186" s="97"/>
      <c r="P1186" s="97"/>
      <c r="Q1186" s="97"/>
      <c r="R1186" s="97"/>
      <c r="S1186" s="97"/>
      <c r="T1186" s="97"/>
      <c r="U1186" s="97"/>
      <c r="V1186" s="97"/>
      <c r="W1186" s="97"/>
      <c r="X1186" s="97"/>
      <c r="Y1186" s="97"/>
      <c r="Z1186" s="97"/>
      <c r="AA1186" s="97"/>
      <c r="AB1186" s="97"/>
      <c r="AC1186" s="97"/>
      <c r="AD1186" s="97"/>
      <c r="AE1186" s="97"/>
      <c r="AF1186" s="97"/>
      <c r="AG1186" s="97"/>
      <c r="AH1186" s="97"/>
      <c r="AI1186" s="97"/>
      <c r="AJ1186" s="97"/>
      <c r="AK1186" s="97"/>
    </row>
    <row r="1187" spans="2:37" s="5" customFormat="1" x14ac:dyDescent="0.25">
      <c r="B1187" s="125"/>
      <c r="C1187" s="126"/>
      <c r="D1187" s="124"/>
      <c r="E1187" s="9"/>
      <c r="F1187" s="9" t="s">
        <v>1442</v>
      </c>
      <c r="G1187" s="124"/>
      <c r="H1187" s="9" t="s">
        <v>1015</v>
      </c>
      <c r="I1187" s="97">
        <f>Datasheet!I74</f>
        <v>13</v>
      </c>
      <c r="J1187" s="97">
        <f>Datasheet!J74</f>
        <v>14</v>
      </c>
      <c r="K1187" s="97">
        <f>Datasheet!K74</f>
        <v>91</v>
      </c>
      <c r="L1187" s="97">
        <f>Datasheet!L74</f>
        <v>3</v>
      </c>
      <c r="M1187" s="97">
        <f>Datasheet!M74</f>
        <v>62</v>
      </c>
      <c r="N1187" s="97">
        <f>Datasheet!N74</f>
        <v>11</v>
      </c>
      <c r="O1187" s="97">
        <f>Datasheet!O74</f>
        <v>18</v>
      </c>
      <c r="P1187" s="97">
        <f>Datasheet!P74</f>
        <v>58</v>
      </c>
      <c r="Q1187" s="97">
        <f>Datasheet!Q74</f>
        <v>58</v>
      </c>
      <c r="R1187" s="97">
        <f>Datasheet!R74</f>
        <v>21</v>
      </c>
      <c r="S1187" s="97">
        <f>Datasheet!S74</f>
        <v>14</v>
      </c>
      <c r="T1187" s="97">
        <f>Datasheet!T74</f>
        <v>12</v>
      </c>
      <c r="U1187" s="97">
        <f>Datasheet!U74</f>
        <v>14</v>
      </c>
      <c r="V1187" s="97">
        <f>Datasheet!V74</f>
        <v>9</v>
      </c>
      <c r="W1187" s="97">
        <f>Datasheet!W74</f>
        <v>34</v>
      </c>
      <c r="X1187" s="97">
        <f>Datasheet!X74</f>
        <v>1</v>
      </c>
      <c r="Y1187" s="97">
        <f>Datasheet!Y74</f>
        <v>31</v>
      </c>
      <c r="Z1187" s="97">
        <f>Datasheet!Z74</f>
        <v>37</v>
      </c>
      <c r="AA1187" s="97">
        <f>Datasheet!AA74</f>
        <v>67</v>
      </c>
      <c r="AB1187" s="97">
        <f>Datasheet!AB74</f>
        <v>0</v>
      </c>
      <c r="AC1187" s="97">
        <f>Datasheet!AC74</f>
        <v>0</v>
      </c>
      <c r="AD1187" s="97">
        <f>Datasheet!AD74</f>
        <v>0</v>
      </c>
      <c r="AE1187" s="97">
        <f>Datasheet!AE74</f>
        <v>0</v>
      </c>
      <c r="AF1187" s="97">
        <f>Datasheet!AF74</f>
        <v>0</v>
      </c>
      <c r="AG1187" s="97">
        <f>Datasheet!AG74</f>
        <v>0</v>
      </c>
      <c r="AH1187" s="97">
        <f>Datasheet!AH74</f>
        <v>0</v>
      </c>
      <c r="AI1187" s="97">
        <f>Datasheet!AI74</f>
        <v>0</v>
      </c>
      <c r="AJ1187" s="97">
        <f>Datasheet!AJ74</f>
        <v>0</v>
      </c>
      <c r="AK1187" s="97">
        <f>Datasheet!AK74</f>
        <v>0</v>
      </c>
    </row>
    <row r="1188" spans="2:37" s="5" customFormat="1" x14ac:dyDescent="0.25">
      <c r="B1188" s="125"/>
      <c r="C1188" s="126"/>
      <c r="D1188" s="124"/>
      <c r="E1188" s="9"/>
      <c r="F1188" s="9" t="s">
        <v>1444</v>
      </c>
      <c r="G1188" s="124"/>
      <c r="H1188" s="9" t="s">
        <v>1015</v>
      </c>
      <c r="I1188" s="97"/>
      <c r="J1188" s="97"/>
      <c r="K1188" s="97"/>
      <c r="L1188" s="97"/>
      <c r="M1188" s="97"/>
      <c r="N1188" s="97"/>
      <c r="O1188" s="97"/>
      <c r="P1188" s="97"/>
      <c r="Q1188" s="97"/>
      <c r="R1188" s="97">
        <f t="shared" ref="R1188:AK1188" si="182">SUM(I1187:R1187)</f>
        <v>349</v>
      </c>
      <c r="S1188" s="97">
        <f t="shared" si="182"/>
        <v>350</v>
      </c>
      <c r="T1188" s="97">
        <f t="shared" si="182"/>
        <v>348</v>
      </c>
      <c r="U1188" s="97">
        <f t="shared" si="182"/>
        <v>271</v>
      </c>
      <c r="V1188" s="97">
        <f t="shared" si="182"/>
        <v>277</v>
      </c>
      <c r="W1188" s="97">
        <f t="shared" si="182"/>
        <v>249</v>
      </c>
      <c r="X1188" s="97">
        <f t="shared" si="182"/>
        <v>239</v>
      </c>
      <c r="Y1188" s="97">
        <f t="shared" si="182"/>
        <v>252</v>
      </c>
      <c r="Z1188" s="97">
        <f t="shared" si="182"/>
        <v>231</v>
      </c>
      <c r="AA1188" s="97">
        <f t="shared" si="182"/>
        <v>240</v>
      </c>
      <c r="AB1188" s="97">
        <f t="shared" si="182"/>
        <v>219</v>
      </c>
      <c r="AC1188" s="97">
        <f t="shared" si="182"/>
        <v>205</v>
      </c>
      <c r="AD1188" s="97">
        <f t="shared" si="182"/>
        <v>193</v>
      </c>
      <c r="AE1188" s="97">
        <f t="shared" si="182"/>
        <v>179</v>
      </c>
      <c r="AF1188" s="97">
        <f t="shared" si="182"/>
        <v>170</v>
      </c>
      <c r="AG1188" s="97">
        <f t="shared" si="182"/>
        <v>136</v>
      </c>
      <c r="AH1188" s="97">
        <f t="shared" si="182"/>
        <v>135</v>
      </c>
      <c r="AI1188" s="97">
        <f t="shared" si="182"/>
        <v>104</v>
      </c>
      <c r="AJ1188" s="97">
        <f t="shared" si="182"/>
        <v>67</v>
      </c>
      <c r="AK1188" s="97">
        <f t="shared" si="182"/>
        <v>0</v>
      </c>
    </row>
    <row r="1189" spans="2:37" s="5" customFormat="1" x14ac:dyDescent="0.25">
      <c r="B1189" s="125"/>
      <c r="C1189" s="126"/>
      <c r="D1189" s="124"/>
      <c r="E1189" s="9"/>
      <c r="F1189" s="9" t="s">
        <v>1445</v>
      </c>
      <c r="G1189" s="124"/>
      <c r="H1189" s="9" t="s">
        <v>1015</v>
      </c>
      <c r="I1189" s="97"/>
      <c r="J1189" s="97"/>
      <c r="K1189" s="97"/>
      <c r="L1189" s="97"/>
      <c r="M1189" s="97"/>
      <c r="N1189" s="97"/>
      <c r="O1189" s="97"/>
      <c r="P1189" s="97"/>
      <c r="Q1189" s="97"/>
      <c r="R1189" s="97"/>
      <c r="S1189" s="97"/>
      <c r="T1189" s="97">
        <f>SUM($T1187:T1187)</f>
        <v>12</v>
      </c>
      <c r="U1189" s="97">
        <f>SUM($T1187:U1187)</f>
        <v>26</v>
      </c>
      <c r="V1189" s="97">
        <f>SUM($T1187:V1187)</f>
        <v>35</v>
      </c>
      <c r="W1189" s="97">
        <f>SUM($T1187:W1187)</f>
        <v>69</v>
      </c>
      <c r="X1189" s="97">
        <f>SUM($T1187:X1187)</f>
        <v>70</v>
      </c>
      <c r="Y1189" s="97">
        <f>SUM($T1187:Y1187)</f>
        <v>101</v>
      </c>
      <c r="Z1189" s="97">
        <f>SUM($T1187:Z1187)</f>
        <v>138</v>
      </c>
      <c r="AA1189" s="97">
        <f>SUM($T1187:AA1187)</f>
        <v>205</v>
      </c>
      <c r="AB1189" s="97">
        <f>SUM($T1187:AB1187)</f>
        <v>205</v>
      </c>
      <c r="AC1189" s="97">
        <f>SUM($T1187:AC1187)</f>
        <v>205</v>
      </c>
      <c r="AD1189" s="97">
        <f>SUM($T1187:AD1187)</f>
        <v>205</v>
      </c>
      <c r="AE1189" s="97">
        <f>SUM($T1187:AE1187)</f>
        <v>205</v>
      </c>
      <c r="AF1189" s="97">
        <f>SUM($T1187:AF1187)</f>
        <v>205</v>
      </c>
      <c r="AG1189" s="97">
        <f>SUM($T1187:AG1187)</f>
        <v>205</v>
      </c>
      <c r="AH1189" s="97">
        <f>SUM($T1187:AH1187)</f>
        <v>205</v>
      </c>
      <c r="AI1189" s="97">
        <f>SUM($T1187:AI1187)</f>
        <v>205</v>
      </c>
      <c r="AJ1189" s="97">
        <f>SUM($T1187:AJ1187)</f>
        <v>205</v>
      </c>
      <c r="AK1189" s="97">
        <f>SUM($T1187:AK1187)</f>
        <v>205</v>
      </c>
    </row>
    <row r="1190" spans="2:37" s="5" customFormat="1" x14ac:dyDescent="0.25">
      <c r="B1190" s="125"/>
      <c r="C1190" s="126"/>
      <c r="D1190" s="124"/>
      <c r="E1190" s="9"/>
      <c r="F1190" s="9" t="s">
        <v>1446</v>
      </c>
      <c r="G1190" s="124"/>
      <c r="H1190" s="9" t="s">
        <v>1015</v>
      </c>
      <c r="I1190" s="97"/>
      <c r="J1190" s="97"/>
      <c r="K1190" s="97"/>
      <c r="L1190" s="97"/>
      <c r="M1190" s="97"/>
      <c r="N1190" s="97"/>
      <c r="O1190" s="97"/>
      <c r="P1190" s="97"/>
      <c r="Q1190" s="97"/>
      <c r="R1190" s="97"/>
      <c r="S1190" s="97"/>
      <c r="T1190" s="97"/>
      <c r="U1190" s="97"/>
      <c r="V1190" s="97"/>
      <c r="W1190" s="97"/>
      <c r="X1190" s="97"/>
      <c r="Y1190" s="97"/>
      <c r="Z1190" s="97"/>
      <c r="AA1190" s="97"/>
      <c r="AB1190" s="97">
        <f>SUM($AB1187:AB1187)</f>
        <v>0</v>
      </c>
      <c r="AC1190" s="97">
        <f>SUM($AB1187:AC1187)</f>
        <v>0</v>
      </c>
      <c r="AD1190" s="97">
        <f>SUM($AB1187:AD1187)</f>
        <v>0</v>
      </c>
      <c r="AE1190" s="97">
        <f>SUM($AB1187:AE1187)</f>
        <v>0</v>
      </c>
      <c r="AF1190" s="97">
        <f>SUM($AB1187:AF1187)</f>
        <v>0</v>
      </c>
      <c r="AG1190" s="97">
        <f>SUM($AB1187:AG1187)</f>
        <v>0</v>
      </c>
      <c r="AH1190" s="97">
        <f>SUM($AB1187:AH1187)</f>
        <v>0</v>
      </c>
      <c r="AI1190" s="97">
        <f>SUM($AB1187:AI1187)</f>
        <v>0</v>
      </c>
      <c r="AJ1190" s="97">
        <f>SUM($AB1187:AJ1187)</f>
        <v>0</v>
      </c>
      <c r="AK1190" s="97">
        <f>SUM($AB1187:AK1187)</f>
        <v>0</v>
      </c>
    </row>
    <row r="1191" spans="2:37" s="5" customFormat="1" x14ac:dyDescent="0.25">
      <c r="B1191" s="125"/>
      <c r="C1191" s="126"/>
      <c r="D1191" s="124"/>
      <c r="E1191" s="9" t="s">
        <v>238</v>
      </c>
      <c r="F1191" s="9"/>
      <c r="G1191" s="124"/>
      <c r="H1191" s="124"/>
      <c r="I1191" s="97"/>
      <c r="J1191" s="97"/>
      <c r="K1191" s="97"/>
      <c r="L1191" s="97"/>
      <c r="M1191" s="97"/>
      <c r="N1191" s="97"/>
      <c r="O1191" s="97"/>
      <c r="P1191" s="97"/>
      <c r="Q1191" s="97"/>
      <c r="R1191" s="97"/>
      <c r="S1191" s="97"/>
      <c r="T1191" s="97"/>
      <c r="U1191" s="97"/>
      <c r="V1191" s="97"/>
      <c r="W1191" s="97"/>
      <c r="X1191" s="97"/>
      <c r="Y1191" s="97"/>
      <c r="Z1191" s="97"/>
      <c r="AA1191" s="97"/>
      <c r="AB1191" s="97"/>
      <c r="AC1191" s="97"/>
      <c r="AD1191" s="97"/>
      <c r="AE1191" s="97"/>
      <c r="AF1191" s="97"/>
      <c r="AG1191" s="97"/>
      <c r="AH1191" s="97"/>
      <c r="AI1191" s="97"/>
      <c r="AJ1191" s="97"/>
      <c r="AK1191" s="97"/>
    </row>
    <row r="1192" spans="2:37" s="5" customFormat="1" x14ac:dyDescent="0.25">
      <c r="B1192" s="125"/>
      <c r="C1192" s="126"/>
      <c r="D1192" s="124"/>
      <c r="E1192" s="9"/>
      <c r="F1192" s="9" t="s">
        <v>1442</v>
      </c>
      <c r="G1192" s="124"/>
      <c r="H1192" s="9" t="s">
        <v>1015</v>
      </c>
      <c r="I1192" s="97">
        <f>Datasheet!I75</f>
        <v>6</v>
      </c>
      <c r="J1192" s="97">
        <f>Datasheet!J75</f>
        <v>62</v>
      </c>
      <c r="K1192" s="97">
        <f>Datasheet!K75</f>
        <v>147</v>
      </c>
      <c r="L1192" s="97">
        <f>Datasheet!L75</f>
        <v>62</v>
      </c>
      <c r="M1192" s="97">
        <f>Datasheet!M75</f>
        <v>64</v>
      </c>
      <c r="N1192" s="97">
        <f>Datasheet!N75</f>
        <v>52</v>
      </c>
      <c r="O1192" s="97">
        <f>Datasheet!O75</f>
        <v>16</v>
      </c>
      <c r="P1192" s="97">
        <f>Datasheet!P75</f>
        <v>32</v>
      </c>
      <c r="Q1192" s="97">
        <f>Datasheet!Q75</f>
        <v>16</v>
      </c>
      <c r="R1192" s="97">
        <f>Datasheet!R75</f>
        <v>2</v>
      </c>
      <c r="S1192" s="97">
        <f>Datasheet!S75</f>
        <v>4</v>
      </c>
      <c r="T1192" s="97">
        <f>Datasheet!T75</f>
        <v>3</v>
      </c>
      <c r="U1192" s="97">
        <f>Datasheet!U75</f>
        <v>36</v>
      </c>
      <c r="V1192" s="97">
        <f>Datasheet!V75</f>
        <v>24</v>
      </c>
      <c r="W1192" s="97">
        <f>Datasheet!W75</f>
        <v>15</v>
      </c>
      <c r="X1192" s="97">
        <f>Datasheet!X75</f>
        <v>28</v>
      </c>
      <c r="Y1192" s="97">
        <f>Datasheet!Y75</f>
        <v>45</v>
      </c>
      <c r="Z1192" s="97">
        <f>Datasheet!Z75</f>
        <v>78</v>
      </c>
      <c r="AA1192" s="97">
        <f>Datasheet!AA75</f>
        <v>67</v>
      </c>
      <c r="AB1192" s="97">
        <f>Datasheet!AB75</f>
        <v>0</v>
      </c>
      <c r="AC1192" s="97">
        <f>Datasheet!AC75</f>
        <v>0</v>
      </c>
      <c r="AD1192" s="97">
        <f>Datasheet!AD75</f>
        <v>0</v>
      </c>
      <c r="AE1192" s="97">
        <f>Datasheet!AE75</f>
        <v>0</v>
      </c>
      <c r="AF1192" s="97">
        <f>Datasheet!AF75</f>
        <v>0</v>
      </c>
      <c r="AG1192" s="97">
        <f>Datasheet!AG75</f>
        <v>0</v>
      </c>
      <c r="AH1192" s="97">
        <f>Datasheet!AH75</f>
        <v>0</v>
      </c>
      <c r="AI1192" s="97">
        <f>Datasheet!AI75</f>
        <v>0</v>
      </c>
      <c r="AJ1192" s="97">
        <f>Datasheet!AJ75</f>
        <v>0</v>
      </c>
      <c r="AK1192" s="97">
        <f>Datasheet!AK75</f>
        <v>0</v>
      </c>
    </row>
    <row r="1193" spans="2:37" s="5" customFormat="1" x14ac:dyDescent="0.25">
      <c r="B1193" s="125"/>
      <c r="C1193" s="126"/>
      <c r="D1193" s="124"/>
      <c r="E1193" s="9"/>
      <c r="F1193" s="9" t="s">
        <v>1444</v>
      </c>
      <c r="G1193" s="124"/>
      <c r="H1193" s="9" t="s">
        <v>1015</v>
      </c>
      <c r="I1193" s="97"/>
      <c r="J1193" s="97"/>
      <c r="K1193" s="97"/>
      <c r="L1193" s="97"/>
      <c r="M1193" s="97"/>
      <c r="N1193" s="97"/>
      <c r="O1193" s="97"/>
      <c r="P1193" s="97"/>
      <c r="Q1193" s="97"/>
      <c r="R1193" s="97">
        <f t="shared" ref="R1193:AK1193" si="183">SUM(I1192:R1192)</f>
        <v>459</v>
      </c>
      <c r="S1193" s="97">
        <f t="shared" si="183"/>
        <v>457</v>
      </c>
      <c r="T1193" s="97">
        <f t="shared" si="183"/>
        <v>398</v>
      </c>
      <c r="U1193" s="97">
        <f t="shared" si="183"/>
        <v>287</v>
      </c>
      <c r="V1193" s="97">
        <f t="shared" si="183"/>
        <v>249</v>
      </c>
      <c r="W1193" s="97">
        <f t="shared" si="183"/>
        <v>200</v>
      </c>
      <c r="X1193" s="97">
        <f t="shared" si="183"/>
        <v>176</v>
      </c>
      <c r="Y1193" s="97">
        <f t="shared" si="183"/>
        <v>205</v>
      </c>
      <c r="Z1193" s="97">
        <f t="shared" si="183"/>
        <v>251</v>
      </c>
      <c r="AA1193" s="97">
        <f t="shared" si="183"/>
        <v>302</v>
      </c>
      <c r="AB1193" s="97">
        <f t="shared" si="183"/>
        <v>300</v>
      </c>
      <c r="AC1193" s="97">
        <f t="shared" si="183"/>
        <v>296</v>
      </c>
      <c r="AD1193" s="97">
        <f t="shared" si="183"/>
        <v>293</v>
      </c>
      <c r="AE1193" s="97">
        <f t="shared" si="183"/>
        <v>257</v>
      </c>
      <c r="AF1193" s="97">
        <f t="shared" si="183"/>
        <v>233</v>
      </c>
      <c r="AG1193" s="97">
        <f t="shared" si="183"/>
        <v>218</v>
      </c>
      <c r="AH1193" s="97">
        <f t="shared" si="183"/>
        <v>190</v>
      </c>
      <c r="AI1193" s="97">
        <f t="shared" si="183"/>
        <v>145</v>
      </c>
      <c r="AJ1193" s="97">
        <f t="shared" si="183"/>
        <v>67</v>
      </c>
      <c r="AK1193" s="97">
        <f t="shared" si="183"/>
        <v>0</v>
      </c>
    </row>
    <row r="1194" spans="2:37" s="5" customFormat="1" x14ac:dyDescent="0.25">
      <c r="B1194" s="125"/>
      <c r="C1194" s="126"/>
      <c r="D1194" s="124"/>
      <c r="E1194" s="9"/>
      <c r="F1194" s="9" t="s">
        <v>1445</v>
      </c>
      <c r="G1194" s="124"/>
      <c r="H1194" s="9" t="s">
        <v>1015</v>
      </c>
      <c r="I1194" s="97"/>
      <c r="J1194" s="97"/>
      <c r="K1194" s="97"/>
      <c r="L1194" s="97"/>
      <c r="M1194" s="97"/>
      <c r="N1194" s="97"/>
      <c r="O1194" s="97"/>
      <c r="P1194" s="97"/>
      <c r="Q1194" s="97"/>
      <c r="R1194" s="97"/>
      <c r="S1194" s="97"/>
      <c r="T1194" s="97">
        <f>SUM($T1192:T1192)</f>
        <v>3</v>
      </c>
      <c r="U1194" s="97">
        <f>SUM($T1192:U1192)</f>
        <v>39</v>
      </c>
      <c r="V1194" s="97">
        <f>SUM($T1192:V1192)</f>
        <v>63</v>
      </c>
      <c r="W1194" s="97">
        <f>SUM($T1192:W1192)</f>
        <v>78</v>
      </c>
      <c r="X1194" s="97">
        <f>SUM($T1192:X1192)</f>
        <v>106</v>
      </c>
      <c r="Y1194" s="97">
        <f>SUM($T1192:Y1192)</f>
        <v>151</v>
      </c>
      <c r="Z1194" s="97">
        <f>SUM($T1192:Z1192)</f>
        <v>229</v>
      </c>
      <c r="AA1194" s="97">
        <f>SUM($T1192:AA1192)</f>
        <v>296</v>
      </c>
      <c r="AB1194" s="97">
        <f>SUM($T1192:AB1192)</f>
        <v>296</v>
      </c>
      <c r="AC1194" s="97">
        <f>SUM($T1192:AC1192)</f>
        <v>296</v>
      </c>
      <c r="AD1194" s="97">
        <f>SUM($T1192:AD1192)</f>
        <v>296</v>
      </c>
      <c r="AE1194" s="97">
        <f>SUM($T1192:AE1192)</f>
        <v>296</v>
      </c>
      <c r="AF1194" s="97">
        <f>SUM($T1192:AF1192)</f>
        <v>296</v>
      </c>
      <c r="AG1194" s="97">
        <f>SUM($T1192:AG1192)</f>
        <v>296</v>
      </c>
      <c r="AH1194" s="97">
        <f>SUM($T1192:AH1192)</f>
        <v>296</v>
      </c>
      <c r="AI1194" s="97">
        <f>SUM($T1192:AI1192)</f>
        <v>296</v>
      </c>
      <c r="AJ1194" s="97">
        <f>SUM($T1192:AJ1192)</f>
        <v>296</v>
      </c>
      <c r="AK1194" s="97">
        <f>SUM($T1192:AK1192)</f>
        <v>296</v>
      </c>
    </row>
    <row r="1195" spans="2:37" s="5" customFormat="1" x14ac:dyDescent="0.25">
      <c r="B1195" s="125"/>
      <c r="C1195" s="126"/>
      <c r="D1195" s="124"/>
      <c r="E1195" s="9"/>
      <c r="F1195" s="9" t="s">
        <v>1446</v>
      </c>
      <c r="G1195" s="124"/>
      <c r="H1195" s="9" t="s">
        <v>1015</v>
      </c>
      <c r="I1195" s="97"/>
      <c r="J1195" s="97"/>
      <c r="K1195" s="97"/>
      <c r="L1195" s="97"/>
      <c r="M1195" s="97"/>
      <c r="N1195" s="97"/>
      <c r="O1195" s="97"/>
      <c r="P1195" s="97"/>
      <c r="Q1195" s="97"/>
      <c r="R1195" s="97"/>
      <c r="S1195" s="97"/>
      <c r="T1195" s="97"/>
      <c r="U1195" s="97"/>
      <c r="V1195" s="97"/>
      <c r="W1195" s="97"/>
      <c r="X1195" s="97"/>
      <c r="Y1195" s="97"/>
      <c r="Z1195" s="97"/>
      <c r="AA1195" s="97"/>
      <c r="AB1195" s="97">
        <f>SUM($AB1192:AB1192)</f>
        <v>0</v>
      </c>
      <c r="AC1195" s="97">
        <f>SUM($AB1192:AC1192)</f>
        <v>0</v>
      </c>
      <c r="AD1195" s="97">
        <f>SUM($AB1192:AD1192)</f>
        <v>0</v>
      </c>
      <c r="AE1195" s="97">
        <f>SUM($AB1192:AE1192)</f>
        <v>0</v>
      </c>
      <c r="AF1195" s="97">
        <f>SUM($AB1192:AF1192)</f>
        <v>0</v>
      </c>
      <c r="AG1195" s="97">
        <f>SUM($AB1192:AG1192)</f>
        <v>0</v>
      </c>
      <c r="AH1195" s="97">
        <f>SUM($AB1192:AH1192)</f>
        <v>0</v>
      </c>
      <c r="AI1195" s="97">
        <f>SUM($AB1192:AI1192)</f>
        <v>0</v>
      </c>
      <c r="AJ1195" s="97">
        <f>SUM($AB1192:AJ1192)</f>
        <v>0</v>
      </c>
      <c r="AK1195" s="97">
        <f>SUM($AB1192:AK1192)</f>
        <v>0</v>
      </c>
    </row>
    <row r="1196" spans="2:37" s="5" customFormat="1" x14ac:dyDescent="0.25">
      <c r="B1196" s="125"/>
      <c r="C1196" s="126"/>
      <c r="D1196" s="124"/>
      <c r="E1196" s="9" t="s">
        <v>240</v>
      </c>
      <c r="F1196" s="9"/>
      <c r="G1196" s="124"/>
      <c r="H1196" s="124"/>
      <c r="I1196" s="97"/>
      <c r="J1196" s="97"/>
      <c r="K1196" s="97"/>
      <c r="L1196" s="97"/>
      <c r="M1196" s="97"/>
      <c r="N1196" s="97"/>
      <c r="O1196" s="97"/>
      <c r="P1196" s="97"/>
      <c r="Q1196" s="97"/>
      <c r="R1196" s="97"/>
      <c r="S1196" s="97"/>
      <c r="T1196" s="97"/>
      <c r="U1196" s="97"/>
      <c r="V1196" s="97"/>
      <c r="W1196" s="97"/>
      <c r="X1196" s="97"/>
      <c r="Y1196" s="97"/>
      <c r="Z1196" s="97"/>
      <c r="AA1196" s="97"/>
      <c r="AB1196" s="97"/>
      <c r="AC1196" s="97"/>
      <c r="AD1196" s="97"/>
      <c r="AE1196" s="97"/>
      <c r="AF1196" s="97"/>
      <c r="AG1196" s="97"/>
      <c r="AH1196" s="97"/>
      <c r="AI1196" s="97"/>
      <c r="AJ1196" s="97"/>
      <c r="AK1196" s="97"/>
    </row>
    <row r="1197" spans="2:37" s="5" customFormat="1" x14ac:dyDescent="0.25">
      <c r="B1197" s="125"/>
      <c r="C1197" s="126"/>
      <c r="D1197" s="124"/>
      <c r="E1197" s="9"/>
      <c r="F1197" s="9" t="s">
        <v>1442</v>
      </c>
      <c r="G1197" s="124"/>
      <c r="H1197" s="9" t="s">
        <v>1015</v>
      </c>
      <c r="I1197" s="97">
        <f>Datasheet!I77</f>
        <v>0</v>
      </c>
      <c r="J1197" s="97">
        <f>Datasheet!J77</f>
        <v>0</v>
      </c>
      <c r="K1197" s="97">
        <f>Datasheet!K77</f>
        <v>0</v>
      </c>
      <c r="L1197" s="97">
        <f>Datasheet!L77</f>
        <v>0</v>
      </c>
      <c r="M1197" s="97">
        <f>Datasheet!M77</f>
        <v>0</v>
      </c>
      <c r="N1197" s="97">
        <f>Datasheet!N77</f>
        <v>0</v>
      </c>
      <c r="O1197" s="97">
        <f>Datasheet!O77</f>
        <v>0</v>
      </c>
      <c r="P1197" s="97">
        <f>Datasheet!P77</f>
        <v>0</v>
      </c>
      <c r="Q1197" s="97">
        <f>Datasheet!Q77</f>
        <v>0</v>
      </c>
      <c r="R1197" s="97">
        <f>Datasheet!R77</f>
        <v>0</v>
      </c>
      <c r="S1197" s="97">
        <f>Datasheet!S77</f>
        <v>0</v>
      </c>
      <c r="T1197" s="97">
        <f>Datasheet!T77</f>
        <v>0</v>
      </c>
      <c r="U1197" s="97">
        <f>Datasheet!U77</f>
        <v>0</v>
      </c>
      <c r="V1197" s="97">
        <f>Datasheet!V77</f>
        <v>0</v>
      </c>
      <c r="W1197" s="97">
        <f>Datasheet!W77</f>
        <v>0</v>
      </c>
      <c r="X1197" s="97">
        <f>Datasheet!X77</f>
        <v>0</v>
      </c>
      <c r="Y1197" s="97">
        <f>Datasheet!Y77</f>
        <v>0</v>
      </c>
      <c r="Z1197" s="97">
        <f>Datasheet!Z77</f>
        <v>0</v>
      </c>
      <c r="AA1197" s="97">
        <f>Datasheet!AA77</f>
        <v>0</v>
      </c>
      <c r="AB1197" s="97">
        <f>Datasheet!AB77</f>
        <v>0</v>
      </c>
      <c r="AC1197" s="97">
        <f>Datasheet!AC77</f>
        <v>0</v>
      </c>
      <c r="AD1197" s="97">
        <f>Datasheet!AD77</f>
        <v>0</v>
      </c>
      <c r="AE1197" s="97">
        <f>Datasheet!AE77</f>
        <v>0</v>
      </c>
      <c r="AF1197" s="97">
        <f>Datasheet!AF77</f>
        <v>0</v>
      </c>
      <c r="AG1197" s="97">
        <f>Datasheet!AG77</f>
        <v>0</v>
      </c>
      <c r="AH1197" s="97">
        <f>Datasheet!AH77</f>
        <v>0</v>
      </c>
      <c r="AI1197" s="97">
        <f>Datasheet!AI77</f>
        <v>0</v>
      </c>
      <c r="AJ1197" s="97">
        <f>Datasheet!AJ77</f>
        <v>0</v>
      </c>
      <c r="AK1197" s="97">
        <f>Datasheet!AK77</f>
        <v>0</v>
      </c>
    </row>
    <row r="1198" spans="2:37" s="5" customFormat="1" x14ac:dyDescent="0.25">
      <c r="B1198" s="125"/>
      <c r="C1198" s="126"/>
      <c r="D1198" s="124"/>
      <c r="E1198" s="9"/>
      <c r="F1198" s="9" t="s">
        <v>1444</v>
      </c>
      <c r="G1198" s="124"/>
      <c r="H1198" s="9" t="s">
        <v>1015</v>
      </c>
      <c r="I1198" s="97"/>
      <c r="J1198" s="97"/>
      <c r="K1198" s="97"/>
      <c r="L1198" s="97"/>
      <c r="M1198" s="97"/>
      <c r="N1198" s="97"/>
      <c r="O1198" s="97"/>
      <c r="P1198" s="97"/>
      <c r="Q1198" s="97"/>
      <c r="R1198" s="97">
        <f t="shared" ref="R1198:AK1198" si="184">SUM(I1197:R1197)</f>
        <v>0</v>
      </c>
      <c r="S1198" s="97">
        <f t="shared" si="184"/>
        <v>0</v>
      </c>
      <c r="T1198" s="97">
        <f t="shared" si="184"/>
        <v>0</v>
      </c>
      <c r="U1198" s="97">
        <f t="shared" si="184"/>
        <v>0</v>
      </c>
      <c r="V1198" s="97">
        <f t="shared" si="184"/>
        <v>0</v>
      </c>
      <c r="W1198" s="97">
        <f t="shared" si="184"/>
        <v>0</v>
      </c>
      <c r="X1198" s="97">
        <f t="shared" si="184"/>
        <v>0</v>
      </c>
      <c r="Y1198" s="97">
        <f t="shared" si="184"/>
        <v>0</v>
      </c>
      <c r="Z1198" s="97">
        <f t="shared" si="184"/>
        <v>0</v>
      </c>
      <c r="AA1198" s="97">
        <f t="shared" si="184"/>
        <v>0</v>
      </c>
      <c r="AB1198" s="97">
        <f t="shared" si="184"/>
        <v>0</v>
      </c>
      <c r="AC1198" s="97">
        <f t="shared" si="184"/>
        <v>0</v>
      </c>
      <c r="AD1198" s="97">
        <f t="shared" si="184"/>
        <v>0</v>
      </c>
      <c r="AE1198" s="97">
        <f t="shared" si="184"/>
        <v>0</v>
      </c>
      <c r="AF1198" s="97">
        <f t="shared" si="184"/>
        <v>0</v>
      </c>
      <c r="AG1198" s="97">
        <f t="shared" si="184"/>
        <v>0</v>
      </c>
      <c r="AH1198" s="97">
        <f t="shared" si="184"/>
        <v>0</v>
      </c>
      <c r="AI1198" s="97">
        <f t="shared" si="184"/>
        <v>0</v>
      </c>
      <c r="AJ1198" s="97">
        <f t="shared" si="184"/>
        <v>0</v>
      </c>
      <c r="AK1198" s="97">
        <f t="shared" si="184"/>
        <v>0</v>
      </c>
    </row>
    <row r="1199" spans="2:37" s="5" customFormat="1" x14ac:dyDescent="0.25">
      <c r="B1199" s="125"/>
      <c r="C1199" s="126"/>
      <c r="D1199" s="124"/>
      <c r="E1199" s="9"/>
      <c r="F1199" s="9" t="s">
        <v>1445</v>
      </c>
      <c r="G1199" s="124"/>
      <c r="H1199" s="9" t="s">
        <v>1015</v>
      </c>
      <c r="I1199" s="97"/>
      <c r="J1199" s="97"/>
      <c r="K1199" s="97"/>
      <c r="L1199" s="97"/>
      <c r="M1199" s="97"/>
      <c r="N1199" s="97"/>
      <c r="O1199" s="97"/>
      <c r="P1199" s="97"/>
      <c r="Q1199" s="97"/>
      <c r="R1199" s="97"/>
      <c r="S1199" s="97"/>
      <c r="T1199" s="97">
        <f>SUM($T1197:T1197)</f>
        <v>0</v>
      </c>
      <c r="U1199" s="97">
        <f>SUM($T1197:U1197)</f>
        <v>0</v>
      </c>
      <c r="V1199" s="97">
        <f>SUM($T1197:V1197)</f>
        <v>0</v>
      </c>
      <c r="W1199" s="97">
        <f>SUM($T1197:W1197)</f>
        <v>0</v>
      </c>
      <c r="X1199" s="97">
        <f>SUM($T1197:X1197)</f>
        <v>0</v>
      </c>
      <c r="Y1199" s="97">
        <f>SUM($T1197:Y1197)</f>
        <v>0</v>
      </c>
      <c r="Z1199" s="97">
        <f>SUM($T1197:Z1197)</f>
        <v>0</v>
      </c>
      <c r="AA1199" s="97">
        <f>SUM($T1197:AA1197)</f>
        <v>0</v>
      </c>
      <c r="AB1199" s="97">
        <f>SUM($T1197:AB1197)</f>
        <v>0</v>
      </c>
      <c r="AC1199" s="97">
        <f>SUM($T1197:AC1197)</f>
        <v>0</v>
      </c>
      <c r="AD1199" s="97">
        <f>SUM($T1197:AD1197)</f>
        <v>0</v>
      </c>
      <c r="AE1199" s="97">
        <f>SUM($T1197:AE1197)</f>
        <v>0</v>
      </c>
      <c r="AF1199" s="97">
        <f>SUM($T1197:AF1197)</f>
        <v>0</v>
      </c>
      <c r="AG1199" s="97">
        <f>SUM($T1197:AG1197)</f>
        <v>0</v>
      </c>
      <c r="AH1199" s="97">
        <f>SUM($T1197:AH1197)</f>
        <v>0</v>
      </c>
      <c r="AI1199" s="97">
        <f>SUM($T1197:AI1197)</f>
        <v>0</v>
      </c>
      <c r="AJ1199" s="97">
        <f>SUM($T1197:AJ1197)</f>
        <v>0</v>
      </c>
      <c r="AK1199" s="97">
        <f>SUM($T1197:AK1197)</f>
        <v>0</v>
      </c>
    </row>
    <row r="1200" spans="2:37" s="5" customFormat="1" x14ac:dyDescent="0.25">
      <c r="B1200" s="125"/>
      <c r="C1200" s="126"/>
      <c r="D1200" s="124"/>
      <c r="E1200" s="9"/>
      <c r="F1200" s="9" t="s">
        <v>1446</v>
      </c>
      <c r="G1200" s="124"/>
      <c r="H1200" s="9" t="s">
        <v>1015</v>
      </c>
      <c r="I1200" s="97"/>
      <c r="J1200" s="97"/>
      <c r="K1200" s="97"/>
      <c r="L1200" s="97"/>
      <c r="M1200" s="97"/>
      <c r="N1200" s="97"/>
      <c r="O1200" s="97"/>
      <c r="P1200" s="97"/>
      <c r="Q1200" s="97"/>
      <c r="R1200" s="97"/>
      <c r="S1200" s="97"/>
      <c r="T1200" s="97"/>
      <c r="U1200" s="97"/>
      <c r="V1200" s="97"/>
      <c r="W1200" s="97"/>
      <c r="X1200" s="97"/>
      <c r="Y1200" s="97"/>
      <c r="Z1200" s="97"/>
      <c r="AA1200" s="97"/>
      <c r="AB1200" s="97">
        <f>SUM($AB1197:AB1197)</f>
        <v>0</v>
      </c>
      <c r="AC1200" s="97">
        <f>SUM($AB1197:AC1197)</f>
        <v>0</v>
      </c>
      <c r="AD1200" s="97">
        <f>SUM($AB1197:AD1197)</f>
        <v>0</v>
      </c>
      <c r="AE1200" s="97">
        <f>SUM($AB1197:AE1197)</f>
        <v>0</v>
      </c>
      <c r="AF1200" s="97">
        <f>SUM($AB1197:AF1197)</f>
        <v>0</v>
      </c>
      <c r="AG1200" s="97">
        <f>SUM($AB1197:AG1197)</f>
        <v>0</v>
      </c>
      <c r="AH1200" s="97">
        <f>SUM($AB1197:AH1197)</f>
        <v>0</v>
      </c>
      <c r="AI1200" s="97">
        <f>SUM($AB1197:AI1197)</f>
        <v>0</v>
      </c>
      <c r="AJ1200" s="97">
        <f>SUM($AB1197:AJ1197)</f>
        <v>0</v>
      </c>
      <c r="AK1200" s="97">
        <f>SUM($AB1197:AK1197)</f>
        <v>0</v>
      </c>
    </row>
    <row r="1201" spans="2:37" s="5" customFormat="1" x14ac:dyDescent="0.25">
      <c r="B1201" s="125"/>
      <c r="C1201" s="126"/>
      <c r="D1201" s="9" t="s">
        <v>239</v>
      </c>
      <c r="E1201" s="124"/>
      <c r="F1201" s="9"/>
      <c r="G1201" s="124"/>
      <c r="H1201" s="124"/>
      <c r="I1201" s="97"/>
      <c r="J1201" s="97"/>
      <c r="K1201" s="97"/>
      <c r="L1201" s="97"/>
      <c r="M1201" s="97"/>
      <c r="N1201" s="97"/>
      <c r="O1201" s="97"/>
      <c r="P1201" s="97"/>
      <c r="Q1201" s="97"/>
      <c r="R1201" s="97"/>
      <c r="S1201" s="97"/>
      <c r="T1201" s="97"/>
      <c r="U1201" s="97"/>
      <c r="V1201" s="97"/>
      <c r="W1201" s="97"/>
      <c r="X1201" s="97"/>
      <c r="Y1201" s="97"/>
      <c r="Z1201" s="97"/>
      <c r="AA1201" s="97"/>
      <c r="AB1201" s="97"/>
      <c r="AC1201" s="97"/>
      <c r="AD1201" s="97"/>
      <c r="AE1201" s="97"/>
      <c r="AF1201" s="97"/>
      <c r="AG1201" s="97"/>
      <c r="AH1201" s="97"/>
      <c r="AI1201" s="97"/>
      <c r="AJ1201" s="97"/>
      <c r="AK1201" s="97"/>
    </row>
    <row r="1202" spans="2:37" s="5" customFormat="1" x14ac:dyDescent="0.25">
      <c r="B1202" s="125"/>
      <c r="C1202" s="126"/>
      <c r="D1202" s="124"/>
      <c r="E1202" s="9"/>
      <c r="F1202" s="9" t="s">
        <v>1442</v>
      </c>
      <c r="G1202" s="124"/>
      <c r="H1202" s="9" t="s">
        <v>1018</v>
      </c>
      <c r="I1202" s="97">
        <f>Datasheet!I76</f>
        <v>2</v>
      </c>
      <c r="J1202" s="97">
        <f>Datasheet!J76</f>
        <v>20</v>
      </c>
      <c r="K1202" s="97">
        <f>Datasheet!K76</f>
        <v>23</v>
      </c>
      <c r="L1202" s="97">
        <f>Datasheet!L76</f>
        <v>20</v>
      </c>
      <c r="M1202" s="97">
        <f>Datasheet!M76</f>
        <v>17</v>
      </c>
      <c r="N1202" s="97">
        <f>Datasheet!N76</f>
        <v>22</v>
      </c>
      <c r="O1202" s="97">
        <f>Datasheet!O76</f>
        <v>14</v>
      </c>
      <c r="P1202" s="97">
        <f>Datasheet!P76</f>
        <v>27</v>
      </c>
      <c r="Q1202" s="97">
        <f>Datasheet!Q76</f>
        <v>21</v>
      </c>
      <c r="R1202" s="97">
        <f>Datasheet!R76</f>
        <v>20</v>
      </c>
      <c r="S1202" s="97">
        <f>Datasheet!S76</f>
        <v>12</v>
      </c>
      <c r="T1202" s="97">
        <f>Datasheet!T76</f>
        <v>15</v>
      </c>
      <c r="U1202" s="97">
        <f>Datasheet!U76</f>
        <v>11</v>
      </c>
      <c r="V1202" s="97">
        <f>Datasheet!V76</f>
        <v>21</v>
      </c>
      <c r="W1202" s="97">
        <f>Datasheet!W76</f>
        <v>21</v>
      </c>
      <c r="X1202" s="97">
        <f>Datasheet!X76</f>
        <v>27</v>
      </c>
      <c r="Y1202" s="97">
        <f>Datasheet!Y76</f>
        <v>24</v>
      </c>
      <c r="Z1202" s="97">
        <f>Datasheet!Z76</f>
        <v>38</v>
      </c>
      <c r="AA1202" s="97">
        <f>Datasheet!AA76</f>
        <v>31</v>
      </c>
      <c r="AB1202" s="97">
        <f>Datasheet!AB76</f>
        <v>0</v>
      </c>
      <c r="AC1202" s="97">
        <f>Datasheet!AC76</f>
        <v>0</v>
      </c>
      <c r="AD1202" s="97">
        <f>Datasheet!AD76</f>
        <v>0</v>
      </c>
      <c r="AE1202" s="97">
        <f>Datasheet!AE76</f>
        <v>0</v>
      </c>
      <c r="AF1202" s="97">
        <f>Datasheet!AF76</f>
        <v>0</v>
      </c>
      <c r="AG1202" s="97">
        <f>Datasheet!AG76</f>
        <v>0</v>
      </c>
      <c r="AH1202" s="97">
        <f>Datasheet!AH76</f>
        <v>0</v>
      </c>
      <c r="AI1202" s="97">
        <f>Datasheet!AI76</f>
        <v>0</v>
      </c>
      <c r="AJ1202" s="97">
        <f>Datasheet!AJ76</f>
        <v>0</v>
      </c>
      <c r="AK1202" s="97">
        <f>Datasheet!AK76</f>
        <v>0</v>
      </c>
    </row>
    <row r="1203" spans="2:37" s="5" customFormat="1" x14ac:dyDescent="0.25">
      <c r="B1203" s="125"/>
      <c r="C1203" s="126"/>
      <c r="D1203" s="124"/>
      <c r="E1203" s="9"/>
      <c r="F1203" s="9" t="s">
        <v>1444</v>
      </c>
      <c r="G1203" s="124"/>
      <c r="H1203" s="9" t="s">
        <v>1018</v>
      </c>
      <c r="I1203" s="127"/>
      <c r="J1203" s="127"/>
      <c r="K1203" s="127"/>
      <c r="L1203" s="127"/>
      <c r="M1203" s="127"/>
      <c r="N1203" s="127"/>
      <c r="O1203" s="127"/>
      <c r="P1203" s="127"/>
      <c r="Q1203" s="127"/>
      <c r="R1203" s="97">
        <f t="shared" ref="R1203:AK1203" si="185">SUM(I1202:R1202)</f>
        <v>186</v>
      </c>
      <c r="S1203" s="97">
        <f t="shared" si="185"/>
        <v>196</v>
      </c>
      <c r="T1203" s="97">
        <f t="shared" si="185"/>
        <v>191</v>
      </c>
      <c r="U1203" s="97">
        <f t="shared" si="185"/>
        <v>179</v>
      </c>
      <c r="V1203" s="97">
        <f t="shared" si="185"/>
        <v>180</v>
      </c>
      <c r="W1203" s="97">
        <f t="shared" si="185"/>
        <v>184</v>
      </c>
      <c r="X1203" s="97">
        <f t="shared" si="185"/>
        <v>189</v>
      </c>
      <c r="Y1203" s="97">
        <f t="shared" si="185"/>
        <v>199</v>
      </c>
      <c r="Z1203" s="97">
        <f t="shared" si="185"/>
        <v>210</v>
      </c>
      <c r="AA1203" s="97">
        <f t="shared" si="185"/>
        <v>220</v>
      </c>
      <c r="AB1203" s="97">
        <f t="shared" si="185"/>
        <v>200</v>
      </c>
      <c r="AC1203" s="97">
        <f t="shared" si="185"/>
        <v>188</v>
      </c>
      <c r="AD1203" s="97">
        <f t="shared" si="185"/>
        <v>173</v>
      </c>
      <c r="AE1203" s="97">
        <f t="shared" si="185"/>
        <v>162</v>
      </c>
      <c r="AF1203" s="97">
        <f t="shared" si="185"/>
        <v>141</v>
      </c>
      <c r="AG1203" s="97">
        <f t="shared" si="185"/>
        <v>120</v>
      </c>
      <c r="AH1203" s="97">
        <f t="shared" si="185"/>
        <v>93</v>
      </c>
      <c r="AI1203" s="97">
        <f t="shared" si="185"/>
        <v>69</v>
      </c>
      <c r="AJ1203" s="97">
        <f t="shared" si="185"/>
        <v>31</v>
      </c>
      <c r="AK1203" s="97">
        <f t="shared" si="185"/>
        <v>0</v>
      </c>
    </row>
    <row r="1204" spans="2:37" s="5" customFormat="1" x14ac:dyDescent="0.25">
      <c r="B1204" s="125"/>
      <c r="C1204" s="126"/>
      <c r="D1204" s="124"/>
      <c r="E1204" s="9"/>
      <c r="F1204" s="9" t="s">
        <v>1445</v>
      </c>
      <c r="G1204" s="124"/>
      <c r="H1204" s="9" t="s">
        <v>1018</v>
      </c>
      <c r="I1204" s="127"/>
      <c r="J1204" s="127"/>
      <c r="K1204" s="127"/>
      <c r="L1204" s="127"/>
      <c r="M1204" s="127"/>
      <c r="N1204" s="127"/>
      <c r="O1204" s="127"/>
      <c r="P1204" s="127"/>
      <c r="Q1204" s="127"/>
      <c r="R1204" s="97"/>
      <c r="S1204" s="97"/>
      <c r="T1204" s="97">
        <f>SUM($T1202:T1202)</f>
        <v>15</v>
      </c>
      <c r="U1204" s="97">
        <f>SUM($T1202:U1202)</f>
        <v>26</v>
      </c>
      <c r="V1204" s="97">
        <f>SUM($T1202:V1202)</f>
        <v>47</v>
      </c>
      <c r="W1204" s="97">
        <f>SUM($T1202:W1202)</f>
        <v>68</v>
      </c>
      <c r="X1204" s="97">
        <f>SUM($T1202:X1202)</f>
        <v>95</v>
      </c>
      <c r="Y1204" s="97">
        <f>SUM($T1202:Y1202)</f>
        <v>119</v>
      </c>
      <c r="Z1204" s="97">
        <f>SUM($T1202:Z1202)</f>
        <v>157</v>
      </c>
      <c r="AA1204" s="97">
        <f>SUM($T1202:AA1202)</f>
        <v>188</v>
      </c>
      <c r="AB1204" s="97">
        <f>SUM($T1202:AB1202)</f>
        <v>188</v>
      </c>
      <c r="AC1204" s="97">
        <f>SUM($T1202:AC1202)</f>
        <v>188</v>
      </c>
      <c r="AD1204" s="97">
        <f>SUM($T1202:AD1202)</f>
        <v>188</v>
      </c>
      <c r="AE1204" s="97">
        <f>SUM($T1202:AE1202)</f>
        <v>188</v>
      </c>
      <c r="AF1204" s="97">
        <f>SUM($T1202:AF1202)</f>
        <v>188</v>
      </c>
      <c r="AG1204" s="97">
        <f>SUM($T1202:AG1202)</f>
        <v>188</v>
      </c>
      <c r="AH1204" s="97">
        <f>SUM($T1202:AH1202)</f>
        <v>188</v>
      </c>
      <c r="AI1204" s="97">
        <f>SUM($T1202:AI1202)</f>
        <v>188</v>
      </c>
      <c r="AJ1204" s="97">
        <f>SUM($T1202:AJ1202)</f>
        <v>188</v>
      </c>
      <c r="AK1204" s="97">
        <f>SUM($T1202:AK1202)</f>
        <v>188</v>
      </c>
    </row>
    <row r="1205" spans="2:37" s="5" customFormat="1" x14ac:dyDescent="0.25">
      <c r="B1205" s="125"/>
      <c r="C1205" s="126"/>
      <c r="D1205" s="124"/>
      <c r="E1205" s="9"/>
      <c r="F1205" s="9" t="s">
        <v>1446</v>
      </c>
      <c r="G1205" s="124"/>
      <c r="H1205" s="9" t="s">
        <v>1018</v>
      </c>
      <c r="I1205" s="127"/>
      <c r="J1205" s="127"/>
      <c r="K1205" s="127"/>
      <c r="L1205" s="127"/>
      <c r="M1205" s="127"/>
      <c r="N1205" s="127"/>
      <c r="O1205" s="127"/>
      <c r="P1205" s="127"/>
      <c r="Q1205" s="127"/>
      <c r="R1205" s="97"/>
      <c r="S1205" s="97"/>
      <c r="T1205" s="97"/>
      <c r="U1205" s="97"/>
      <c r="V1205" s="97"/>
      <c r="W1205" s="97"/>
      <c r="X1205" s="97"/>
      <c r="Y1205" s="97"/>
      <c r="Z1205" s="97"/>
      <c r="AA1205" s="97"/>
      <c r="AB1205" s="97">
        <f>SUM($AB1202:AB1202)</f>
        <v>0</v>
      </c>
      <c r="AC1205" s="97">
        <f>SUM($AB1202:AC1202)</f>
        <v>0</v>
      </c>
      <c r="AD1205" s="97">
        <f>SUM($AB1202:AD1202)</f>
        <v>0</v>
      </c>
      <c r="AE1205" s="97">
        <f>SUM($AB1202:AE1202)</f>
        <v>0</v>
      </c>
      <c r="AF1205" s="97">
        <f>SUM($AB1202:AF1202)</f>
        <v>0</v>
      </c>
      <c r="AG1205" s="97">
        <f>SUM($AB1202:AG1202)</f>
        <v>0</v>
      </c>
      <c r="AH1205" s="97">
        <f>SUM($AB1202:AH1202)</f>
        <v>0</v>
      </c>
      <c r="AI1205" s="97">
        <f>SUM($AB1202:AI1202)</f>
        <v>0</v>
      </c>
      <c r="AJ1205" s="97">
        <f>SUM($AB1202:AJ1202)</f>
        <v>0</v>
      </c>
      <c r="AK1205" s="97">
        <f>SUM($AB1202:AK1202)</f>
        <v>0</v>
      </c>
    </row>
    <row r="1206" spans="2:37" s="109" customFormat="1" x14ac:dyDescent="0.25">
      <c r="C1206" s="109" t="s">
        <v>1448</v>
      </c>
    </row>
    <row r="1207" spans="2:37" s="124" customFormat="1" x14ac:dyDescent="0.25">
      <c r="D1207" s="124" t="s">
        <v>1441</v>
      </c>
    </row>
    <row r="1208" spans="2:37" s="124" customFormat="1" x14ac:dyDescent="0.25">
      <c r="F1208" s="124" t="s">
        <v>1442</v>
      </c>
      <c r="H1208" s="124" t="s">
        <v>1523</v>
      </c>
      <c r="J1208" s="267">
        <f>J1131/Datasheet!I124</f>
        <v>2.9466218048070307E-2</v>
      </c>
      <c r="K1208" s="267">
        <f>K1131/Datasheet!J124</f>
        <v>3.0636178859313367E-2</v>
      </c>
      <c r="L1208" s="267">
        <f>L1131/Datasheet!K124</f>
        <v>1.8953087788101883E-2</v>
      </c>
      <c r="M1208" s="267">
        <f>M1131/Datasheet!L124</f>
        <v>3.7809623221413645E-2</v>
      </c>
      <c r="N1208" s="267">
        <f>N1131/Datasheet!M124</f>
        <v>4.8848083449367925E-2</v>
      </c>
      <c r="O1208" s="267">
        <f>O1131/Datasheet!N124</f>
        <v>1.0626121369818027E-2</v>
      </c>
      <c r="P1208" s="267">
        <f>P1131/Datasheet!O124</f>
        <v>2.4349636481629723E-2</v>
      </c>
      <c r="Q1208" s="267">
        <f>Q1131/Datasheet!P124</f>
        <v>1.0022363537079285E-2</v>
      </c>
      <c r="R1208" s="267">
        <f>R1131/Datasheet!Q124</f>
        <v>8.5285695745662068E-3</v>
      </c>
      <c r="S1208" s="267">
        <f>S1131/Datasheet!R124</f>
        <v>7.1369118961707185E-3</v>
      </c>
      <c r="T1208" s="267">
        <f>T1131/Datasheet!S124</f>
        <v>5.6526439567830596E-3</v>
      </c>
      <c r="U1208" s="267">
        <f>U1131/Datasheet!T124</f>
        <v>1.482789830338989E-2</v>
      </c>
      <c r="V1208" s="267">
        <f>V1131/Datasheet!U124</f>
        <v>6.5394544999509167E-3</v>
      </c>
      <c r="W1208" s="267">
        <f>W1131/Datasheet!V124</f>
        <v>6.5417652891319152E-3</v>
      </c>
      <c r="X1208" s="267">
        <f>X1131/Datasheet!W124</f>
        <v>6.0335700937299529E-3</v>
      </c>
      <c r="Y1208" s="267">
        <f>Y1131/Datasheet!X124</f>
        <v>1.2386534218650609E-2</v>
      </c>
      <c r="Z1208" s="267">
        <f>Z1131/Datasheet!Y124</f>
        <v>1.407530524059006E-2</v>
      </c>
      <c r="AA1208" s="267">
        <f>AA1131/Datasheet!Z124</f>
        <v>8.175418067288805E-3</v>
      </c>
      <c r="AB1208" s="267">
        <f>AB1131/Datasheet!AA124</f>
        <v>0</v>
      </c>
      <c r="AC1208" s="267">
        <f>AC1131/Datasheet!AB124</f>
        <v>0</v>
      </c>
      <c r="AD1208" s="267">
        <f>AD1131/Datasheet!AC124</f>
        <v>0</v>
      </c>
      <c r="AE1208" s="267">
        <f>AE1131/Datasheet!AD124</f>
        <v>0</v>
      </c>
      <c r="AF1208" s="267">
        <f>AF1131/Datasheet!AE124</f>
        <v>0</v>
      </c>
      <c r="AG1208" s="267">
        <f>AG1131/Datasheet!AF124</f>
        <v>0</v>
      </c>
      <c r="AH1208" s="267">
        <f>AH1131/Datasheet!AG124</f>
        <v>0</v>
      </c>
      <c r="AI1208" s="267">
        <f>AI1131/Datasheet!AH124</f>
        <v>0</v>
      </c>
      <c r="AJ1208" s="267">
        <f>AJ1131/Datasheet!AI124</f>
        <v>0</v>
      </c>
      <c r="AK1208" s="267">
        <f>AK1131/Datasheet!AJ124</f>
        <v>0</v>
      </c>
    </row>
    <row r="1209" spans="2:37" s="124" customFormat="1" x14ac:dyDescent="0.25">
      <c r="F1209" s="124" t="s">
        <v>1444</v>
      </c>
      <c r="H1209" s="124" t="s">
        <v>1524</v>
      </c>
      <c r="R1209" s="267">
        <f>R1132/Datasheet!I124</f>
        <v>0.26518373877735241</v>
      </c>
      <c r="S1209" s="267">
        <f>S1132/Datasheet!J124</f>
        <v>0.2426720510706496</v>
      </c>
      <c r="T1209" s="267">
        <f>T1132/Datasheet!K124</f>
        <v>0.21434511194993228</v>
      </c>
      <c r="U1209" s="267">
        <f>U1132/Datasheet!L124</f>
        <v>0.19842427529840184</v>
      </c>
      <c r="V1209" s="267">
        <f>V1132/Datasheet!M124</f>
        <v>0.18070667754451672</v>
      </c>
      <c r="W1209" s="267">
        <f>W1132/Datasheet!N124</f>
        <v>0.14469217953209856</v>
      </c>
      <c r="X1209" s="267">
        <f>X1132/Datasheet!O124</f>
        <v>0.10364335339519899</v>
      </c>
      <c r="Y1209" s="267">
        <f>Y1132/Datasheet!P124</f>
        <v>0.10413342740983673</v>
      </c>
      <c r="Z1209" s="267">
        <f>Z1132/Datasheet!Q124</f>
        <v>9.4620712105757121E-2</v>
      </c>
      <c r="AA1209" s="267">
        <f>AA1132/Datasheet!R124</f>
        <v>9.2774424459800234E-2</v>
      </c>
      <c r="AB1209" s="267">
        <f>AB1132/Datasheet!S124</f>
        <v>8.3720470668720029E-2</v>
      </c>
      <c r="AC1209" s="267">
        <f>AC1132/Datasheet!T124</f>
        <v>7.6203382746777015E-2</v>
      </c>
      <c r="AD1209" s="267">
        <f>AD1132/Datasheet!U124</f>
        <v>6.9551213256420066E-2</v>
      </c>
      <c r="AE1209" s="267">
        <f>AE1132/Datasheet!V124</f>
        <v>5.4583025783414632E-2</v>
      </c>
      <c r="AF1209" s="267">
        <f>AF1132/Datasheet!W124</f>
        <v>4.7773534658496271E-2</v>
      </c>
      <c r="AG1209" s="267">
        <f>AG1132/Datasheet!X124</f>
        <v>4.1026748168316363E-2</v>
      </c>
      <c r="AH1209" s="267">
        <f>AH1132/Datasheet!Y124</f>
        <v>3.4600779968992225E-2</v>
      </c>
      <c r="AI1209" s="267">
        <f>AI1132/Datasheet!Z124</f>
        <v>2.205535890388248E-2</v>
      </c>
      <c r="AJ1209" s="267">
        <f>AJ1132/Datasheet!AA124</f>
        <v>8.1091225998759196E-3</v>
      </c>
      <c r="AK1209" s="267">
        <f>AK1132/Datasheet!AB124</f>
        <v>0</v>
      </c>
    </row>
    <row r="1210" spans="2:37" s="124" customFormat="1" x14ac:dyDescent="0.25">
      <c r="F1210" s="124" t="s">
        <v>1445</v>
      </c>
      <c r="H1210" s="124" t="s">
        <v>1525</v>
      </c>
      <c r="T1210" s="267">
        <f>T1133/Datasheet!$S124</f>
        <v>5.6526439567830596E-3</v>
      </c>
      <c r="U1210" s="267">
        <f>U1133/Datasheet!$S124</f>
        <v>2.05643590899094E-2</v>
      </c>
      <c r="V1210" s="267">
        <f>V1133/Datasheet!$S124</f>
        <v>2.7238293280449431E-2</v>
      </c>
      <c r="W1210" s="267">
        <f>W1133/Datasheet!$S124</f>
        <v>3.3958245091098585E-2</v>
      </c>
      <c r="X1210" s="267">
        <f>X1133/Datasheet!$S124</f>
        <v>4.0196704636845743E-2</v>
      </c>
      <c r="Y1210" s="267">
        <f>Y1133/Datasheet!$S124</f>
        <v>5.3081136712957631E-2</v>
      </c>
      <c r="Z1210" s="267">
        <f>Z1133/Datasheet!$S124</f>
        <v>6.7903575155300058E-2</v>
      </c>
      <c r="AA1210" s="267">
        <f>AA1133/Datasheet!$S124</f>
        <v>7.6634133337747018E-2</v>
      </c>
      <c r="AB1210" s="267">
        <f>AB1133/Datasheet!$S124</f>
        <v>7.6634133337747018E-2</v>
      </c>
      <c r="AC1210" s="267">
        <f>AC1133/Datasheet!$S124</f>
        <v>7.6634133337747018E-2</v>
      </c>
      <c r="AD1210" s="267">
        <f>AD1133/Datasheet!$S124</f>
        <v>7.6634133337747018E-2</v>
      </c>
      <c r="AE1210" s="267">
        <f>AE1133/Datasheet!$S124</f>
        <v>7.6634133337747018E-2</v>
      </c>
      <c r="AF1210" s="267">
        <f>AF1133/Datasheet!$S124</f>
        <v>7.6634133337747018E-2</v>
      </c>
      <c r="AG1210" s="267">
        <f>AG1133/Datasheet!$S124</f>
        <v>7.6634133337747018E-2</v>
      </c>
      <c r="AH1210" s="267">
        <f>AH1133/Datasheet!$S124</f>
        <v>7.6634133337747018E-2</v>
      </c>
      <c r="AI1210" s="267">
        <f>AI1133/Datasheet!$S124</f>
        <v>7.6634133337747018E-2</v>
      </c>
      <c r="AJ1210" s="267">
        <f>AJ1133/Datasheet!$S124</f>
        <v>7.6634133337747018E-2</v>
      </c>
      <c r="AK1210" s="267">
        <f>AK1133/Datasheet!$S124</f>
        <v>7.6634133337747018E-2</v>
      </c>
    </row>
    <row r="1211" spans="2:37" s="124" customFormat="1" x14ac:dyDescent="0.25">
      <c r="F1211" s="124" t="s">
        <v>1446</v>
      </c>
      <c r="H1211" s="124" t="s">
        <v>1526</v>
      </c>
      <c r="AB1211" s="267">
        <f>AB1134/Datasheet!$AA124</f>
        <v>0</v>
      </c>
      <c r="AC1211" s="267">
        <f>AC1134/Datasheet!$AA124</f>
        <v>0</v>
      </c>
      <c r="AD1211" s="267">
        <f>AD1134/Datasheet!$AA124</f>
        <v>0</v>
      </c>
      <c r="AE1211" s="267">
        <f>AE1134/Datasheet!$AA124</f>
        <v>0</v>
      </c>
      <c r="AF1211" s="267">
        <f>AF1134/Datasheet!$AA124</f>
        <v>0</v>
      </c>
      <c r="AG1211" s="267">
        <f>AG1134/Datasheet!$AA124</f>
        <v>0</v>
      </c>
      <c r="AH1211" s="267">
        <f>AH1134/Datasheet!$AA124</f>
        <v>0</v>
      </c>
      <c r="AI1211" s="267">
        <f>AI1134/Datasheet!$AA124</f>
        <v>0</v>
      </c>
      <c r="AJ1211" s="267">
        <f>AJ1134/Datasheet!$AA124</f>
        <v>0</v>
      </c>
      <c r="AK1211" s="267">
        <f>AK1134/Datasheet!$AA124</f>
        <v>0</v>
      </c>
    </row>
    <row r="1212" spans="2:37" s="124" customFormat="1" x14ac:dyDescent="0.25">
      <c r="D1212" s="126"/>
      <c r="E1212" s="9" t="s">
        <v>235</v>
      </c>
      <c r="F1212" s="9"/>
    </row>
    <row r="1213" spans="2:37" s="124" customFormat="1" x14ac:dyDescent="0.25">
      <c r="D1213" s="126"/>
      <c r="E1213" s="9"/>
      <c r="F1213" s="9" t="s">
        <v>1442</v>
      </c>
      <c r="H1213" s="9" t="s">
        <v>1519</v>
      </c>
      <c r="J1213" s="138">
        <f>J1136/Datasheet!I126</f>
        <v>8.5888253247649578E-4</v>
      </c>
      <c r="K1213" s="138">
        <f>K1136/Datasheet!J126</f>
        <v>1.3893784064034E-2</v>
      </c>
      <c r="L1213" s="138">
        <f>L1136/Datasheet!K126</f>
        <v>2.7406784186688563E-4</v>
      </c>
      <c r="M1213" s="138">
        <f>M1136/Datasheet!L126</f>
        <v>2.417583081753594E-3</v>
      </c>
      <c r="N1213" s="138">
        <f>N1136/Datasheet!M126</f>
        <v>1.707922707352931E-2</v>
      </c>
      <c r="O1213" s="138">
        <f>O1136/Datasheet!N126</f>
        <v>2.0748466342529514E-3</v>
      </c>
      <c r="P1213" s="138">
        <f>P1136/Datasheet!O126</f>
        <v>1.2462742414636623E-3</v>
      </c>
      <c r="Q1213" s="138">
        <f>Q1136/Datasheet!P126</f>
        <v>9.9262718281967178E-4</v>
      </c>
      <c r="R1213" s="138">
        <f>R1136/Datasheet!Q126</f>
        <v>0</v>
      </c>
      <c r="S1213" s="138">
        <f>S1136/Datasheet!R126</f>
        <v>0</v>
      </c>
      <c r="T1213" s="138">
        <f>T1136/Datasheet!S126</f>
        <v>0</v>
      </c>
      <c r="U1213" s="138">
        <f>U1136/Datasheet!T126</f>
        <v>3.8809831824062097E-3</v>
      </c>
      <c r="V1213" s="138">
        <f>V1136/Datasheet!U126</f>
        <v>1.5610912939516288E-3</v>
      </c>
      <c r="W1213" s="138">
        <f>W1136/Datasheet!V126</f>
        <v>0</v>
      </c>
      <c r="X1213" s="138">
        <f>X1136/Datasheet!W126</f>
        <v>0</v>
      </c>
      <c r="Y1213" s="138">
        <f>Y1136/Datasheet!X126</f>
        <v>0</v>
      </c>
      <c r="Z1213" s="138">
        <f>Z1136/Datasheet!Y126</f>
        <v>2.4656738089670295E-3</v>
      </c>
      <c r="AA1213" s="138">
        <f>AA1136/Datasheet!Z126</f>
        <v>9.0986020244926327E-3</v>
      </c>
      <c r="AB1213" s="138">
        <f>AB1136/Datasheet!AA126</f>
        <v>0</v>
      </c>
      <c r="AC1213" s="138">
        <f>AC1136/Datasheet!AB126</f>
        <v>0</v>
      </c>
      <c r="AD1213" s="138">
        <f>AD1136/Datasheet!AC126</f>
        <v>0</v>
      </c>
      <c r="AE1213" s="138">
        <f>AE1136/Datasheet!AD126</f>
        <v>0</v>
      </c>
      <c r="AF1213" s="138">
        <f>AF1136/Datasheet!AE126</f>
        <v>0</v>
      </c>
      <c r="AG1213" s="138">
        <f>AG1136/Datasheet!AF126</f>
        <v>0</v>
      </c>
      <c r="AH1213" s="138">
        <f>AH1136/Datasheet!AG126</f>
        <v>0</v>
      </c>
      <c r="AI1213" s="138">
        <f>AI1136/Datasheet!AH126</f>
        <v>0</v>
      </c>
      <c r="AJ1213" s="138">
        <f>AJ1136/Datasheet!AI126</f>
        <v>0</v>
      </c>
      <c r="AK1213" s="138">
        <f>AK1136/Datasheet!AJ126</f>
        <v>0</v>
      </c>
    </row>
    <row r="1214" spans="2:37" s="124" customFormat="1" x14ac:dyDescent="0.25">
      <c r="C1214" s="126"/>
      <c r="E1214" s="9"/>
      <c r="F1214" s="9" t="s">
        <v>1444</v>
      </c>
      <c r="H1214" s="9" t="s">
        <v>1520</v>
      </c>
      <c r="R1214" s="138">
        <f>R1137/Datasheet!I126</f>
        <v>3.945133765842037E-2</v>
      </c>
      <c r="S1214" s="138">
        <f>S1137/Datasheet!J126</f>
        <v>3.93112360870609E-2</v>
      </c>
      <c r="T1214" s="138">
        <f>T1137/Datasheet!K126</f>
        <v>3.7926152823049911E-2</v>
      </c>
      <c r="U1214" s="138">
        <f>U1137/Datasheet!L126</f>
        <v>2.819002605953097E-2</v>
      </c>
      <c r="V1214" s="138">
        <f>V1137/Datasheet!M126</f>
        <v>2.9449507449802889E-2</v>
      </c>
      <c r="W1214" s="138">
        <f>W1137/Datasheet!N126</f>
        <v>2.6583725495814243E-2</v>
      </c>
      <c r="X1214" s="138">
        <f>X1137/Datasheet!O126</f>
        <v>9.7710266874247581E-3</v>
      </c>
      <c r="Y1214" s="138">
        <f>Y1137/Datasheet!P126</f>
        <v>7.6908911684738452E-3</v>
      </c>
      <c r="Z1214" s="138">
        <f>Z1137/Datasheet!Q126</f>
        <v>8.9188830245106963E-3</v>
      </c>
      <c r="AA1214" s="138">
        <f>AA1137/Datasheet!R126</f>
        <v>1.7097969001323175E-2</v>
      </c>
      <c r="AB1214" s="138">
        <f>AB1137/Datasheet!S126</f>
        <v>1.7097969001323175E-2</v>
      </c>
      <c r="AC1214" s="138">
        <f>AC1137/Datasheet!T126</f>
        <v>1.7097969001323175E-2</v>
      </c>
      <c r="AD1214" s="138">
        <f>AD1137/Datasheet!U126</f>
        <v>1.7031868605699503E-2</v>
      </c>
      <c r="AE1214" s="138">
        <f>AE1137/Datasheet!V126</f>
        <v>1.3145368104552397E-2</v>
      </c>
      <c r="AF1214" s="138">
        <f>AF1137/Datasheet!W126</f>
        <v>1.1586710018169667E-2</v>
      </c>
      <c r="AG1214" s="138">
        <f>AG1137/Datasheet!X126</f>
        <v>1.1586710018169667E-2</v>
      </c>
      <c r="AH1214" s="138">
        <f>AH1137/Datasheet!Y126</f>
        <v>1.1586710018169667E-2</v>
      </c>
      <c r="AI1214" s="138">
        <f>AI1137/Datasheet!Z126</f>
        <v>1.1558211239438078E-2</v>
      </c>
      <c r="AJ1214" s="138">
        <f>AJ1137/Datasheet!AA126</f>
        <v>9.0165638979567159E-3</v>
      </c>
      <c r="AK1214" s="138">
        <f>AK1137/Datasheet!AB126</f>
        <v>0</v>
      </c>
    </row>
    <row r="1215" spans="2:37" s="124" customFormat="1" x14ac:dyDescent="0.25">
      <c r="C1215" s="126"/>
      <c r="E1215" s="9"/>
      <c r="F1215" s="9" t="s">
        <v>1445</v>
      </c>
      <c r="H1215" s="9" t="s">
        <v>1521</v>
      </c>
      <c r="T1215" s="138">
        <f>T1138/Datasheet!$S126</f>
        <v>0</v>
      </c>
      <c r="U1215" s="138">
        <f>U1138/Datasheet!$S126</f>
        <v>3.8809831824062097E-3</v>
      </c>
      <c r="V1215" s="138">
        <f>V1138/Datasheet!$S126</f>
        <v>5.4481330454158655E-3</v>
      </c>
      <c r="W1215" s="138">
        <f>W1138/Datasheet!$S126</f>
        <v>5.4481330454158655E-3</v>
      </c>
      <c r="X1215" s="138">
        <f>X1138/Datasheet!$S126</f>
        <v>5.4481330454158655E-3</v>
      </c>
      <c r="Y1215" s="138">
        <f>Y1138/Datasheet!$S126</f>
        <v>5.4481330454158655E-3</v>
      </c>
      <c r="Z1215" s="138">
        <f>Z1138/Datasheet!$S126</f>
        <v>7.9272401733407449E-3</v>
      </c>
      <c r="AA1215" s="138">
        <f>AA1138/Datasheet!$S126</f>
        <v>1.7097969001323175E-2</v>
      </c>
      <c r="AB1215" s="138">
        <f>AB1138/Datasheet!$S126</f>
        <v>1.7097969001323175E-2</v>
      </c>
      <c r="AC1215" s="138">
        <f>AC1138/Datasheet!$S126</f>
        <v>1.7097969001323175E-2</v>
      </c>
      <c r="AD1215" s="138">
        <f>AD1138/Datasheet!$S126</f>
        <v>1.7097969001323175E-2</v>
      </c>
      <c r="AE1215" s="138">
        <f>AE1138/Datasheet!$S126</f>
        <v>1.7097969001323175E-2</v>
      </c>
      <c r="AF1215" s="138">
        <f>AF1138/Datasheet!$S126</f>
        <v>1.7097969001323175E-2</v>
      </c>
      <c r="AG1215" s="138">
        <f>AG1138/Datasheet!$S126</f>
        <v>1.7097969001323175E-2</v>
      </c>
      <c r="AH1215" s="138">
        <f>AH1138/Datasheet!$S126</f>
        <v>1.7097969001323175E-2</v>
      </c>
      <c r="AI1215" s="138">
        <f>AI1138/Datasheet!$S126</f>
        <v>1.7097969001323175E-2</v>
      </c>
      <c r="AJ1215" s="138">
        <f>AJ1138/Datasheet!$S126</f>
        <v>1.7097969001323175E-2</v>
      </c>
      <c r="AK1215" s="138">
        <f>AK1138/Datasheet!$S126</f>
        <v>1.7097969001323175E-2</v>
      </c>
    </row>
    <row r="1216" spans="2:37" s="124" customFormat="1" x14ac:dyDescent="0.25">
      <c r="C1216" s="126"/>
      <c r="E1216" s="9"/>
      <c r="F1216" s="9" t="s">
        <v>1446</v>
      </c>
      <c r="H1216" s="9" t="s">
        <v>1522</v>
      </c>
      <c r="AB1216" s="138">
        <f>AB1139/Datasheet!$AA126</f>
        <v>0</v>
      </c>
      <c r="AC1216" s="138">
        <f>AC1139/Datasheet!$AA126</f>
        <v>0</v>
      </c>
      <c r="AD1216" s="138">
        <f>AD1139/Datasheet!$AA126</f>
        <v>0</v>
      </c>
      <c r="AE1216" s="138">
        <f>AE1139/Datasheet!$AA126</f>
        <v>0</v>
      </c>
      <c r="AF1216" s="138">
        <f>AF1139/Datasheet!$AA126</f>
        <v>0</v>
      </c>
      <c r="AG1216" s="138">
        <f>AG1139/Datasheet!$AA126</f>
        <v>0</v>
      </c>
      <c r="AH1216" s="138">
        <f>AH1139/Datasheet!$AA126</f>
        <v>0</v>
      </c>
      <c r="AI1216" s="138">
        <f>AI1139/Datasheet!$AA126</f>
        <v>0</v>
      </c>
      <c r="AJ1216" s="138">
        <f>AJ1139/Datasheet!$AA126</f>
        <v>0</v>
      </c>
      <c r="AK1216" s="138">
        <f>AK1139/Datasheet!$AA126</f>
        <v>0</v>
      </c>
    </row>
    <row r="1217" spans="3:37" s="124" customFormat="1" x14ac:dyDescent="0.25">
      <c r="C1217" s="126"/>
      <c r="E1217" s="9" t="s">
        <v>248</v>
      </c>
      <c r="F1217" s="9"/>
    </row>
    <row r="1218" spans="3:37" s="124" customFormat="1" x14ac:dyDescent="0.25">
      <c r="C1218" s="126"/>
      <c r="E1218" s="9"/>
      <c r="F1218" s="9" t="s">
        <v>1442</v>
      </c>
      <c r="H1218" s="9" t="s">
        <v>1519</v>
      </c>
      <c r="J1218" s="138">
        <f>J1141/Datasheet!I128</f>
        <v>5.3589716154869085E-2</v>
      </c>
      <c r="K1218" s="138">
        <f>K1141/Datasheet!J128</f>
        <v>0</v>
      </c>
      <c r="L1218" s="138">
        <f>L1141/Datasheet!K128</f>
        <v>2.0634759438455996E-2</v>
      </c>
      <c r="M1218" s="138">
        <f>M1141/Datasheet!L128</f>
        <v>5.3806134922815961E-2</v>
      </c>
      <c r="N1218" s="138">
        <f>N1141/Datasheet!M128</f>
        <v>0.17524841508924957</v>
      </c>
      <c r="O1218" s="138">
        <f>O1141/Datasheet!N128</f>
        <v>6.7344588675029751E-2</v>
      </c>
      <c r="P1218" s="138">
        <f>P1141/Datasheet!O128</f>
        <v>0.20950571705079035</v>
      </c>
      <c r="Q1218" s="138">
        <f>Q1141/Datasheet!P128</f>
        <v>7.805832147937411E-3</v>
      </c>
      <c r="R1218" s="138">
        <f>R1141/Datasheet!Q128</f>
        <v>0</v>
      </c>
      <c r="S1218" s="138">
        <f>S1141/Datasheet!R128</f>
        <v>0</v>
      </c>
      <c r="T1218" s="138">
        <f>T1141/Datasheet!S128</f>
        <v>6.7747019766286165E-2</v>
      </c>
      <c r="U1218" s="138">
        <f>U1141/Datasheet!T128</f>
        <v>3.9546917901589866E-3</v>
      </c>
      <c r="V1218" s="138">
        <f>V1141/Datasheet!U128</f>
        <v>2.2054648346312841E-3</v>
      </c>
      <c r="W1218" s="138">
        <f>W1141/Datasheet!V128</f>
        <v>4.8692634246879042E-3</v>
      </c>
      <c r="X1218" s="138">
        <f>X1141/Datasheet!W128</f>
        <v>8.5064772343462301E-3</v>
      </c>
      <c r="Y1218" s="138">
        <f>Y1141/Datasheet!X128</f>
        <v>5.0505732535684861E-4</v>
      </c>
      <c r="Z1218" s="138">
        <f>Z1141/Datasheet!Y128</f>
        <v>1.1426890039466368E-2</v>
      </c>
      <c r="AA1218" s="138">
        <f>AA1141/Datasheet!Z128</f>
        <v>2.1805564822846468E-2</v>
      </c>
      <c r="AB1218" s="138">
        <f>AB1141/Datasheet!AA128</f>
        <v>0</v>
      </c>
      <c r="AC1218" s="138">
        <f>AC1141/Datasheet!AB128</f>
        <v>0</v>
      </c>
      <c r="AD1218" s="138">
        <f>AD1141/Datasheet!AC128</f>
        <v>0</v>
      </c>
      <c r="AE1218" s="138">
        <f>AE1141/Datasheet!AD128</f>
        <v>0</v>
      </c>
      <c r="AF1218" s="138">
        <f>AF1141/Datasheet!AE128</f>
        <v>0</v>
      </c>
      <c r="AG1218" s="138">
        <f>AG1141/Datasheet!AF128</f>
        <v>0</v>
      </c>
      <c r="AH1218" s="138">
        <f>AH1141/Datasheet!AG128</f>
        <v>0</v>
      </c>
      <c r="AI1218" s="138">
        <f>AI1141/Datasheet!AH128</f>
        <v>0</v>
      </c>
      <c r="AJ1218" s="138">
        <f>AJ1141/Datasheet!AI128</f>
        <v>0</v>
      </c>
      <c r="AK1218" s="138">
        <f>AK1141/Datasheet!AJ128</f>
        <v>0</v>
      </c>
    </row>
    <row r="1219" spans="3:37" s="124" customFormat="1" x14ac:dyDescent="0.25">
      <c r="C1219" s="126"/>
      <c r="E1219" s="9"/>
      <c r="F1219" s="9" t="s">
        <v>1444</v>
      </c>
      <c r="H1219" s="9" t="s">
        <v>1520</v>
      </c>
      <c r="R1219" s="138">
        <f>R1142/Datasheet!I128</f>
        <v>0.73399772760853721</v>
      </c>
      <c r="S1219" s="138">
        <f>S1142/Datasheet!J128</f>
        <v>0.69542572792293522</v>
      </c>
      <c r="T1219" s="138">
        <f>T1142/Datasheet!K128</f>
        <v>0.7559759559353344</v>
      </c>
      <c r="U1219" s="138">
        <f>U1142/Datasheet!L128</f>
        <v>0.74749590152283307</v>
      </c>
      <c r="V1219" s="138">
        <f>V1142/Datasheet!M128</f>
        <v>0.69375927341396515</v>
      </c>
      <c r="W1219" s="138">
        <f>W1142/Datasheet!N128</f>
        <v>0.55366946328623845</v>
      </c>
      <c r="X1219" s="138">
        <f>X1142/Datasheet!O128</f>
        <v>0.39022187175167566</v>
      </c>
      <c r="Y1219" s="138">
        <f>Y1142/Datasheet!P128</f>
        <v>0.2710170697012802</v>
      </c>
      <c r="Z1219" s="138">
        <f>Z1142/Datasheet!Q128</f>
        <v>0.10949087551532902</v>
      </c>
      <c r="AA1219" s="138">
        <f>AA1142/Datasheet!R128</f>
        <v>0.12576968542140829</v>
      </c>
      <c r="AB1219" s="138">
        <f>AB1142/Datasheet!S128</f>
        <v>0.12576968542140829</v>
      </c>
      <c r="AC1219" s="138">
        <f>AC1142/Datasheet!T128</f>
        <v>0.11778977893933844</v>
      </c>
      <c r="AD1219" s="138">
        <f>AD1142/Datasheet!U128</f>
        <v>5.412715437430908E-2</v>
      </c>
      <c r="AE1219" s="138">
        <f>AE1142/Datasheet!V128</f>
        <v>5.0077596187796461E-2</v>
      </c>
      <c r="AF1219" s="138">
        <f>AF1142/Datasheet!W128</f>
        <v>4.7644988723401935E-2</v>
      </c>
      <c r="AG1219" s="138">
        <f>AG1142/Datasheet!X128</f>
        <v>4.2438319536535631E-2</v>
      </c>
      <c r="AH1219" s="138">
        <f>AH1142/Datasheet!Y128</f>
        <v>3.3986427025013359E-2</v>
      </c>
      <c r="AI1219" s="138">
        <f>AI1142/Datasheet!Z128</f>
        <v>3.3103356242076463E-2</v>
      </c>
      <c r="AJ1219" s="138">
        <f>AJ1142/Datasheet!AA128</f>
        <v>2.13402290744296E-2</v>
      </c>
      <c r="AK1219" s="138">
        <f>AK1142/Datasheet!AB128</f>
        <v>0</v>
      </c>
    </row>
    <row r="1220" spans="3:37" s="124" customFormat="1" x14ac:dyDescent="0.25">
      <c r="C1220" s="126"/>
      <c r="E1220" s="9"/>
      <c r="F1220" s="9" t="s">
        <v>1445</v>
      </c>
      <c r="H1220" s="9" t="s">
        <v>1521</v>
      </c>
      <c r="T1220" s="138">
        <f>T1143/Datasheet!$S128</f>
        <v>6.7747019766286165E-2</v>
      </c>
      <c r="U1220" s="138">
        <f>U1143/Datasheet!$S128</f>
        <v>7.1969630139322616E-2</v>
      </c>
      <c r="V1220" s="138">
        <f>V1143/Datasheet!$S128</f>
        <v>7.4333821462387595E-2</v>
      </c>
      <c r="W1220" s="138">
        <f>W1143/Datasheet!$S128</f>
        <v>7.9565035845139589E-2</v>
      </c>
      <c r="X1220" s="138">
        <f>X1143/Datasheet!$S128</f>
        <v>8.8748331245552439E-2</v>
      </c>
      <c r="Y1220" s="138">
        <f>Y1143/Datasheet!$S128</f>
        <v>8.9298211565718044E-2</v>
      </c>
      <c r="Z1220" s="138">
        <f>Z1143/Datasheet!$S128</f>
        <v>0.10174550244946688</v>
      </c>
      <c r="AA1220" s="138">
        <f>AA1143/Datasheet!$S128</f>
        <v>0.12576968542140829</v>
      </c>
      <c r="AB1220" s="138">
        <f>AB1143/Datasheet!$S128</f>
        <v>0.12576968542140829</v>
      </c>
      <c r="AC1220" s="138">
        <f>AC1143/Datasheet!$S128</f>
        <v>0.12576968542140829</v>
      </c>
      <c r="AD1220" s="138">
        <f>AD1143/Datasheet!$S128</f>
        <v>0.12576968542140829</v>
      </c>
      <c r="AE1220" s="138">
        <f>AE1143/Datasheet!$S128</f>
        <v>0.12576968542140829</v>
      </c>
      <c r="AF1220" s="138">
        <f>AF1143/Datasheet!$S128</f>
        <v>0.12576968542140829</v>
      </c>
      <c r="AG1220" s="138">
        <f>AG1143/Datasheet!$S128</f>
        <v>0.12576968542140829</v>
      </c>
      <c r="AH1220" s="138">
        <f>AH1143/Datasheet!$S128</f>
        <v>0.12576968542140829</v>
      </c>
      <c r="AI1220" s="138">
        <f>AI1143/Datasheet!$S128</f>
        <v>0.12576968542140829</v>
      </c>
      <c r="AJ1220" s="138">
        <f>AJ1143/Datasheet!$S128</f>
        <v>0.12576968542140829</v>
      </c>
      <c r="AK1220" s="138">
        <f>AK1143/Datasheet!$S128</f>
        <v>0.12576968542140829</v>
      </c>
    </row>
    <row r="1221" spans="3:37" s="124" customFormat="1" x14ac:dyDescent="0.25">
      <c r="C1221" s="126"/>
      <c r="E1221" s="9"/>
      <c r="F1221" s="9" t="s">
        <v>1446</v>
      </c>
      <c r="H1221" s="9" t="s">
        <v>1522</v>
      </c>
      <c r="AB1221" s="138">
        <f>AB1144/Datasheet!$AA128</f>
        <v>0</v>
      </c>
      <c r="AC1221" s="138">
        <f>AC1144/Datasheet!$AA128</f>
        <v>0</v>
      </c>
      <c r="AD1221" s="138">
        <f>AD1144/Datasheet!$AA128</f>
        <v>0</v>
      </c>
      <c r="AE1221" s="138">
        <f>AE1144/Datasheet!$AA128</f>
        <v>0</v>
      </c>
      <c r="AF1221" s="138">
        <f>AF1144/Datasheet!$AA128</f>
        <v>0</v>
      </c>
      <c r="AG1221" s="138">
        <f>AG1144/Datasheet!$AA128</f>
        <v>0</v>
      </c>
      <c r="AH1221" s="138">
        <f>AH1144/Datasheet!$AA128</f>
        <v>0</v>
      </c>
      <c r="AI1221" s="138">
        <f>AI1144/Datasheet!$AA128</f>
        <v>0</v>
      </c>
      <c r="AJ1221" s="138">
        <f>AJ1144/Datasheet!$AA128</f>
        <v>0</v>
      </c>
      <c r="AK1221" s="138">
        <f>AK1144/Datasheet!$AA128</f>
        <v>0</v>
      </c>
    </row>
    <row r="1222" spans="3:37" s="124" customFormat="1" x14ac:dyDescent="0.25">
      <c r="C1222" s="126"/>
      <c r="E1222" s="9" t="s">
        <v>249</v>
      </c>
      <c r="F1222" s="9"/>
    </row>
    <row r="1223" spans="3:37" s="124" customFormat="1" x14ac:dyDescent="0.25">
      <c r="C1223" s="126"/>
      <c r="E1223" s="9"/>
      <c r="F1223" s="9" t="s">
        <v>1442</v>
      </c>
      <c r="H1223" s="9" t="s">
        <v>1519</v>
      </c>
      <c r="J1223" s="138">
        <f>J1146/Datasheet!I129</f>
        <v>1.3737638446816304E-2</v>
      </c>
      <c r="K1223" s="138">
        <f>K1146/Datasheet!J129</f>
        <v>2.0324665411429445E-2</v>
      </c>
      <c r="L1223" s="138">
        <f>L1146/Datasheet!K129</f>
        <v>0</v>
      </c>
      <c r="M1223" s="138">
        <f>M1146/Datasheet!L129</f>
        <v>1.0371364162310976E-2</v>
      </c>
      <c r="N1223" s="138">
        <f>N1146/Datasheet!M129</f>
        <v>1.1548324518038241E-2</v>
      </c>
      <c r="O1223" s="138">
        <f>O1146/Datasheet!N129</f>
        <v>0</v>
      </c>
      <c r="P1223" s="138">
        <f>P1146/Datasheet!O129</f>
        <v>1.5039795435358647E-2</v>
      </c>
      <c r="Q1223" s="138">
        <f>Q1146/Datasheet!P129</f>
        <v>9.1656450566092156E-3</v>
      </c>
      <c r="R1223" s="138">
        <f>R1146/Datasheet!Q129</f>
        <v>1.1288090457168854E-2</v>
      </c>
      <c r="S1223" s="138">
        <f>S1146/Datasheet!R129</f>
        <v>0</v>
      </c>
      <c r="T1223" s="138">
        <f>T1146/Datasheet!S129</f>
        <v>4.7178032890367013E-3</v>
      </c>
      <c r="U1223" s="138">
        <f>U1146/Datasheet!T129</f>
        <v>7.1055993811025286E-3</v>
      </c>
      <c r="V1223" s="138">
        <f>V1146/Datasheet!U129</f>
        <v>0</v>
      </c>
      <c r="W1223" s="138">
        <f>W1146/Datasheet!V129</f>
        <v>9.7742995744839346E-3</v>
      </c>
      <c r="X1223" s="138">
        <f>X1146/Datasheet!W129</f>
        <v>3.6671699766018508E-2</v>
      </c>
      <c r="Y1223" s="138">
        <f>Y1146/Datasheet!X129</f>
        <v>2.7913978781551378E-2</v>
      </c>
      <c r="Z1223" s="138">
        <f>Z1146/Datasheet!Y129</f>
        <v>1.1833269876432107E-3</v>
      </c>
      <c r="AA1223" s="138">
        <f>AA1146/Datasheet!Z129</f>
        <v>1.4477002093763436E-3</v>
      </c>
      <c r="AB1223" s="138">
        <f>AB1146/Datasheet!AA129</f>
        <v>0</v>
      </c>
      <c r="AC1223" s="138">
        <f>AC1146/Datasheet!AB129</f>
        <v>0</v>
      </c>
      <c r="AD1223" s="138">
        <f>AD1146/Datasheet!AC129</f>
        <v>0</v>
      </c>
      <c r="AE1223" s="138">
        <f>AE1146/Datasheet!AD129</f>
        <v>0</v>
      </c>
      <c r="AF1223" s="138">
        <f>AF1146/Datasheet!AE129</f>
        <v>0</v>
      </c>
      <c r="AG1223" s="138">
        <f>AG1146/Datasheet!AF129</f>
        <v>0</v>
      </c>
      <c r="AH1223" s="138">
        <f>AH1146/Datasheet!AG129</f>
        <v>0</v>
      </c>
      <c r="AI1223" s="138">
        <f>AI1146/Datasheet!AH129</f>
        <v>0</v>
      </c>
      <c r="AJ1223" s="138">
        <f>AJ1146/Datasheet!AI129</f>
        <v>0</v>
      </c>
      <c r="AK1223" s="138">
        <f>AK1146/Datasheet!AJ129</f>
        <v>0</v>
      </c>
    </row>
    <row r="1224" spans="3:37" s="124" customFormat="1" x14ac:dyDescent="0.25">
      <c r="C1224" s="126"/>
      <c r="E1224" s="9"/>
      <c r="F1224" s="9" t="s">
        <v>1444</v>
      </c>
      <c r="H1224" s="9" t="s">
        <v>1520</v>
      </c>
      <c r="R1224" s="138">
        <f>R1147/Datasheet!I129</f>
        <v>9.8479728858326412E-2</v>
      </c>
      <c r="S1224" s="138">
        <f>S1147/Datasheet!J129</f>
        <v>9.3806930944990083E-2</v>
      </c>
      <c r="T1224" s="138">
        <f>T1147/Datasheet!K129</f>
        <v>8.3651697721741206E-2</v>
      </c>
      <c r="U1224" s="138">
        <f>U1147/Datasheet!L129</f>
        <v>7.1290348322227984E-2</v>
      </c>
      <c r="V1224" s="138">
        <f>V1147/Datasheet!M129</f>
        <v>7.0558559803735252E-2</v>
      </c>
      <c r="W1224" s="138">
        <f>W1147/Datasheet!N129</f>
        <v>6.9850626820805867E-2</v>
      </c>
      <c r="X1224" s="138">
        <f>X1147/Datasheet!O129</f>
        <v>9.7248722690961978E-2</v>
      </c>
      <c r="Y1224" s="138">
        <f>Y1147/Datasheet!P129</f>
        <v>0.12598254849643037</v>
      </c>
      <c r="Z1224" s="138">
        <f>Z1147/Datasheet!Q129</f>
        <v>0.11145887671709268</v>
      </c>
      <c r="AA1224" s="138">
        <f>AA1147/Datasheet!R129</f>
        <v>0.10281183902468898</v>
      </c>
      <c r="AB1224" s="138">
        <f>AB1147/Datasheet!S129</f>
        <v>9.1649747268950116E-2</v>
      </c>
      <c r="AC1224" s="138">
        <f>AC1147/Datasheet!T129</f>
        <v>9.1219392120778786E-2</v>
      </c>
      <c r="AD1224" s="138">
        <f>AD1147/Datasheet!U129</f>
        <v>8.5913276659931662E-2</v>
      </c>
      <c r="AE1224" s="138">
        <f>AE1147/Datasheet!V129</f>
        <v>7.8857810594139613E-2</v>
      </c>
      <c r="AF1224" s="138">
        <f>AF1147/Datasheet!W129</f>
        <v>7.8094491637755156E-2</v>
      </c>
      <c r="AG1224" s="138">
        <f>AG1147/Datasheet!X129</f>
        <v>6.5994667591721651E-2</v>
      </c>
      <c r="AH1224" s="138">
        <f>AH1147/Datasheet!Y129</f>
        <v>2.9788688518915925E-2</v>
      </c>
      <c r="AI1224" s="138">
        <f>AI1147/Datasheet!Z129</f>
        <v>2.6296285892701645E-3</v>
      </c>
      <c r="AJ1224" s="138">
        <f>AJ1147/Datasheet!AA129</f>
        <v>1.445607403236003E-3</v>
      </c>
      <c r="AK1224" s="138">
        <f>AK1147/Datasheet!AB129</f>
        <v>0</v>
      </c>
    </row>
    <row r="1225" spans="3:37" s="124" customFormat="1" x14ac:dyDescent="0.25">
      <c r="C1225" s="126"/>
      <c r="E1225" s="9"/>
      <c r="F1225" s="9" t="s">
        <v>1445</v>
      </c>
      <c r="H1225" s="9" t="s">
        <v>1521</v>
      </c>
      <c r="T1225" s="138">
        <f>T1148/Datasheet!$S129</f>
        <v>4.7178032890367013E-3</v>
      </c>
      <c r="U1225" s="138">
        <f>U1148/Datasheet!$S129</f>
        <v>1.1856925490269973E-2</v>
      </c>
      <c r="V1225" s="138">
        <f>V1148/Datasheet!$S129</f>
        <v>1.1856925490269973E-2</v>
      </c>
      <c r="W1225" s="138">
        <f>W1148/Datasheet!$S129</f>
        <v>2.1747118206528141E-2</v>
      </c>
      <c r="X1225" s="138">
        <f>X1148/Datasheet!$S129</f>
        <v>5.9216321762192568E-2</v>
      </c>
      <c r="Y1225" s="138">
        <f>Y1148/Datasheet!$S129</f>
        <v>8.8783263692935308E-2</v>
      </c>
      <c r="Z1225" s="138">
        <f>Z1148/Datasheet!$S129</f>
        <v>9.0071650312557414E-2</v>
      </c>
      <c r="AA1225" s="138">
        <f>AA1148/Datasheet!$S129</f>
        <v>9.1649747268950116E-2</v>
      </c>
      <c r="AB1225" s="138">
        <f>AB1148/Datasheet!$S129</f>
        <v>9.1649747268950116E-2</v>
      </c>
      <c r="AC1225" s="138">
        <f>AC1148/Datasheet!$S129</f>
        <v>9.1649747268950116E-2</v>
      </c>
      <c r="AD1225" s="138">
        <f>AD1148/Datasheet!$S129</f>
        <v>9.1649747268950116E-2</v>
      </c>
      <c r="AE1225" s="138">
        <f>AE1148/Datasheet!$S129</f>
        <v>9.1649747268950116E-2</v>
      </c>
      <c r="AF1225" s="138">
        <f>AF1148/Datasheet!$S129</f>
        <v>9.1649747268950116E-2</v>
      </c>
      <c r="AG1225" s="138">
        <f>AG1148/Datasheet!$S129</f>
        <v>9.1649747268950116E-2</v>
      </c>
      <c r="AH1225" s="138">
        <f>AH1148/Datasheet!$S129</f>
        <v>9.1649747268950116E-2</v>
      </c>
      <c r="AI1225" s="138">
        <f>AI1148/Datasheet!$S129</f>
        <v>9.1649747268950116E-2</v>
      </c>
      <c r="AJ1225" s="138">
        <f>AJ1148/Datasheet!$S129</f>
        <v>9.1649747268950116E-2</v>
      </c>
      <c r="AK1225" s="138">
        <f>AK1148/Datasheet!$S129</f>
        <v>9.1649747268950116E-2</v>
      </c>
    </row>
    <row r="1226" spans="3:37" s="124" customFormat="1" x14ac:dyDescent="0.25">
      <c r="C1226" s="126"/>
      <c r="E1226" s="9"/>
      <c r="F1226" s="9" t="s">
        <v>1446</v>
      </c>
      <c r="H1226" s="9" t="s">
        <v>1522</v>
      </c>
      <c r="AB1226" s="138">
        <f>AB1149/Datasheet!$AA129</f>
        <v>0</v>
      </c>
      <c r="AC1226" s="138">
        <f>AC1149/Datasheet!$AA129</f>
        <v>0</v>
      </c>
      <c r="AD1226" s="138">
        <f>AD1149/Datasheet!$AA129</f>
        <v>0</v>
      </c>
      <c r="AE1226" s="138">
        <f>AE1149/Datasheet!$AA129</f>
        <v>0</v>
      </c>
      <c r="AF1226" s="138">
        <f>AF1149/Datasheet!$AA129</f>
        <v>0</v>
      </c>
      <c r="AG1226" s="138">
        <f>AG1149/Datasheet!$AA129</f>
        <v>0</v>
      </c>
      <c r="AH1226" s="138">
        <f>AH1149/Datasheet!$AA129</f>
        <v>0</v>
      </c>
      <c r="AI1226" s="138">
        <f>AI1149/Datasheet!$AA129</f>
        <v>0</v>
      </c>
      <c r="AJ1226" s="138">
        <f>AJ1149/Datasheet!$AA129</f>
        <v>0</v>
      </c>
      <c r="AK1226" s="138">
        <f>AK1149/Datasheet!$AA129</f>
        <v>0</v>
      </c>
    </row>
    <row r="1227" spans="3:37" s="124" customFormat="1" x14ac:dyDescent="0.25">
      <c r="C1227" s="126"/>
      <c r="E1227" s="9" t="s">
        <v>250</v>
      </c>
      <c r="F1227" s="9"/>
    </row>
    <row r="1228" spans="3:37" s="124" customFormat="1" x14ac:dyDescent="0.25">
      <c r="C1228" s="126"/>
      <c r="E1228" s="9"/>
      <c r="F1228" s="9" t="s">
        <v>1442</v>
      </c>
      <c r="H1228" s="9" t="s">
        <v>1519</v>
      </c>
      <c r="J1228" s="138">
        <f>J1151/Datasheet!I130</f>
        <v>2.8449865879057006E-2</v>
      </c>
      <c r="K1228" s="138">
        <f>K1151/Datasheet!J130</f>
        <v>2.625690123630612E-2</v>
      </c>
      <c r="L1228" s="138">
        <f>L1151/Datasheet!K130</f>
        <v>1.118175113306206E-2</v>
      </c>
      <c r="M1228" s="138">
        <f>M1151/Datasheet!L130</f>
        <v>4.4213163875839796E-2</v>
      </c>
      <c r="N1228" s="138">
        <f>N1151/Datasheet!M130</f>
        <v>4.665191036375331E-2</v>
      </c>
      <c r="O1228" s="138">
        <f>O1151/Datasheet!N130</f>
        <v>2.6823101006152428E-2</v>
      </c>
      <c r="P1228" s="138">
        <f>P1151/Datasheet!O130</f>
        <v>6.6360679014780349E-2</v>
      </c>
      <c r="Q1228" s="138">
        <f>Q1151/Datasheet!P130</f>
        <v>1.520174515326778E-2</v>
      </c>
      <c r="R1228" s="138">
        <f>R1151/Datasheet!Q130</f>
        <v>-1.0042935927177625E-3</v>
      </c>
      <c r="S1228" s="138">
        <f>S1151/Datasheet!R130</f>
        <v>1.0787188885215463E-2</v>
      </c>
      <c r="T1228" s="138">
        <f>T1151/Datasheet!S130</f>
        <v>2.7758669780071957E-3</v>
      </c>
      <c r="U1228" s="138">
        <f>U1151/Datasheet!T130</f>
        <v>-4.0986940496974474E-4</v>
      </c>
      <c r="V1228" s="138">
        <f>V1151/Datasheet!U130</f>
        <v>3.0518055733794913E-3</v>
      </c>
      <c r="W1228" s="138">
        <f>W1151/Datasheet!V130</f>
        <v>-2.620468204881763E-3</v>
      </c>
      <c r="X1228" s="138">
        <f>X1151/Datasheet!W130</f>
        <v>1.8052786410037599E-2</v>
      </c>
      <c r="Y1228" s="138">
        <f>Y1151/Datasheet!X130</f>
        <v>5.2552604465588414E-3</v>
      </c>
      <c r="Z1228" s="138">
        <f>Z1151/Datasheet!Y130</f>
        <v>1.3807777938280013E-2</v>
      </c>
      <c r="AA1228" s="138">
        <f>AA1151/Datasheet!Z130</f>
        <v>4.4803495622555995E-3</v>
      </c>
      <c r="AB1228" s="138">
        <f>AB1151/Datasheet!AA130</f>
        <v>0</v>
      </c>
      <c r="AC1228" s="138">
        <f>AC1151/Datasheet!AB130</f>
        <v>0</v>
      </c>
      <c r="AD1228" s="138">
        <f>AD1151/Datasheet!AC130</f>
        <v>0</v>
      </c>
      <c r="AE1228" s="138">
        <f>AE1151/Datasheet!AD130</f>
        <v>0</v>
      </c>
      <c r="AF1228" s="138">
        <f>AF1151/Datasheet!AE130</f>
        <v>0</v>
      </c>
      <c r="AG1228" s="138">
        <f>AG1151/Datasheet!AF130</f>
        <v>0</v>
      </c>
      <c r="AH1228" s="138">
        <f>AH1151/Datasheet!AG130</f>
        <v>0</v>
      </c>
      <c r="AI1228" s="138">
        <f>AI1151/Datasheet!AH130</f>
        <v>0</v>
      </c>
      <c r="AJ1228" s="138">
        <f>AJ1151/Datasheet!AI130</f>
        <v>0</v>
      </c>
      <c r="AK1228" s="138">
        <f>AK1151/Datasheet!AJ130</f>
        <v>0</v>
      </c>
    </row>
    <row r="1229" spans="3:37" s="124" customFormat="1" x14ac:dyDescent="0.25">
      <c r="C1229" s="126"/>
      <c r="E1229" s="9"/>
      <c r="F1229" s="9" t="s">
        <v>1444</v>
      </c>
      <c r="H1229" s="9" t="s">
        <v>1520</v>
      </c>
      <c r="R1229" s="138">
        <f>R1152/Datasheet!I130</f>
        <v>0.31228921651186958</v>
      </c>
      <c r="S1229" s="138">
        <f>S1152/Datasheet!J130</f>
        <v>0.30073263694379454</v>
      </c>
      <c r="T1229" s="138">
        <f>T1152/Datasheet!K130</f>
        <v>0.26952671185292865</v>
      </c>
      <c r="U1229" s="138">
        <f>U1152/Datasheet!L130</f>
        <v>0.24073984977454635</v>
      </c>
      <c r="V1229" s="138">
        <f>V1152/Datasheet!M130</f>
        <v>0.22355061712922947</v>
      </c>
      <c r="W1229" s="138">
        <f>W1152/Datasheet!N130</f>
        <v>0.17017516983444445</v>
      </c>
      <c r="X1229" s="138">
        <f>X1152/Datasheet!O130</f>
        <v>0.14211105756946457</v>
      </c>
      <c r="Y1229" s="138">
        <f>Y1152/Datasheet!P130</f>
        <v>0.114270391011142</v>
      </c>
      <c r="Z1229" s="138">
        <f>Z1152/Datasheet!Q130</f>
        <v>6.5568966377549442E-2</v>
      </c>
      <c r="AA1229" s="138">
        <f>AA1152/Datasheet!R130</f>
        <v>5.5357481223901162E-2</v>
      </c>
      <c r="AB1229" s="138">
        <f>AB1152/Datasheet!S130</f>
        <v>5.5761277008620956E-2</v>
      </c>
      <c r="AC1229" s="138">
        <f>AC1152/Datasheet!T130</f>
        <v>4.4964394550927059E-2</v>
      </c>
      <c r="AD1229" s="138">
        <f>AD1152/Datasheet!U130</f>
        <v>4.2213513708084627E-2</v>
      </c>
      <c r="AE1229" s="138">
        <f>AE1152/Datasheet!V130</f>
        <v>4.2493868151208584E-2</v>
      </c>
      <c r="AF1229" s="138">
        <f>AF1152/Datasheet!W130</f>
        <v>3.9555000379358815E-2</v>
      </c>
      <c r="AG1229" s="138">
        <f>AG1152/Datasheet!X130</f>
        <v>4.1434348044221019E-2</v>
      </c>
      <c r="AH1229" s="138">
        <f>AH1152/Datasheet!Y130</f>
        <v>2.3577778236355592E-2</v>
      </c>
      <c r="AI1229" s="138">
        <f>AI1152/Datasheet!Z130</f>
        <v>1.8100069432979083E-2</v>
      </c>
      <c r="AJ1229" s="138">
        <f>AJ1152/Datasheet!AA130</f>
        <v>4.4603655653473948E-3</v>
      </c>
      <c r="AK1229" s="138">
        <f>AK1152/Datasheet!AB130</f>
        <v>0</v>
      </c>
    </row>
    <row r="1230" spans="3:37" s="124" customFormat="1" x14ac:dyDescent="0.25">
      <c r="C1230" s="126"/>
      <c r="E1230" s="9"/>
      <c r="F1230" s="9" t="s">
        <v>1445</v>
      </c>
      <c r="H1230" s="9" t="s">
        <v>1521</v>
      </c>
      <c r="T1230" s="138">
        <f>T1153/Datasheet!$S130</f>
        <v>2.7758669780071957E-3</v>
      </c>
      <c r="U1230" s="138">
        <f>U1153/Datasheet!$S130</f>
        <v>2.3648598300909001E-3</v>
      </c>
      <c r="V1230" s="138">
        <f>V1153/Datasheet!$S130</f>
        <v>5.423882495880124E-3</v>
      </c>
      <c r="W1230" s="138">
        <f>W1153/Datasheet!$S130</f>
        <v>2.7892011793708925E-3</v>
      </c>
      <c r="X1230" s="138">
        <f>X1153/Datasheet!$S130</f>
        <v>2.0892340442554301E-2</v>
      </c>
      <c r="Y1230" s="138">
        <f>Y1153/Datasheet!$S130</f>
        <v>2.6257395579476938E-2</v>
      </c>
      <c r="Z1230" s="138">
        <f>Z1153/Datasheet!$S130</f>
        <v>4.0427729805155944E-2</v>
      </c>
      <c r="AA1230" s="138">
        <f>AA1153/Datasheet!$S130</f>
        <v>4.5089209728947061E-2</v>
      </c>
      <c r="AB1230" s="138">
        <f>AB1153/Datasheet!$S130</f>
        <v>4.5089209728947061E-2</v>
      </c>
      <c r="AC1230" s="138">
        <f>AC1153/Datasheet!$S130</f>
        <v>4.5089209728947061E-2</v>
      </c>
      <c r="AD1230" s="138">
        <f>AD1153/Datasheet!$S130</f>
        <v>4.5089209728947061E-2</v>
      </c>
      <c r="AE1230" s="138">
        <f>AE1153/Datasheet!$S130</f>
        <v>4.5089209728947061E-2</v>
      </c>
      <c r="AF1230" s="138">
        <f>AF1153/Datasheet!$S130</f>
        <v>4.5089209728947061E-2</v>
      </c>
      <c r="AG1230" s="138">
        <f>AG1153/Datasheet!$S130</f>
        <v>4.5089209728947061E-2</v>
      </c>
      <c r="AH1230" s="138">
        <f>AH1153/Datasheet!$S130</f>
        <v>4.5089209728947061E-2</v>
      </c>
      <c r="AI1230" s="138">
        <f>AI1153/Datasheet!$S130</f>
        <v>4.5089209728947061E-2</v>
      </c>
      <c r="AJ1230" s="138">
        <f>AJ1153/Datasheet!$S130</f>
        <v>4.5089209728947061E-2</v>
      </c>
      <c r="AK1230" s="138">
        <f>AK1153/Datasheet!$S130</f>
        <v>4.5089209728947061E-2</v>
      </c>
    </row>
    <row r="1231" spans="3:37" s="124" customFormat="1" x14ac:dyDescent="0.25">
      <c r="C1231" s="126"/>
      <c r="E1231" s="9"/>
      <c r="F1231" s="9" t="s">
        <v>1446</v>
      </c>
      <c r="H1231" s="9" t="s">
        <v>1522</v>
      </c>
      <c r="AB1231" s="138">
        <f>AB1154/Datasheet!$AA130</f>
        <v>0</v>
      </c>
      <c r="AC1231" s="138">
        <f>AC1154/Datasheet!$AA130</f>
        <v>0</v>
      </c>
      <c r="AD1231" s="138">
        <f>AD1154/Datasheet!$AA130</f>
        <v>0</v>
      </c>
      <c r="AE1231" s="138">
        <f>AE1154/Datasheet!$AA130</f>
        <v>0</v>
      </c>
      <c r="AF1231" s="138">
        <f>AF1154/Datasheet!$AA130</f>
        <v>0</v>
      </c>
      <c r="AG1231" s="138">
        <f>AG1154/Datasheet!$AA130</f>
        <v>0</v>
      </c>
      <c r="AH1231" s="138">
        <f>AH1154/Datasheet!$AA130</f>
        <v>0</v>
      </c>
      <c r="AI1231" s="138">
        <f>AI1154/Datasheet!$AA130</f>
        <v>0</v>
      </c>
      <c r="AJ1231" s="138">
        <f>AJ1154/Datasheet!$AA130</f>
        <v>0</v>
      </c>
      <c r="AK1231" s="138">
        <f>AK1154/Datasheet!$AA130</f>
        <v>0</v>
      </c>
    </row>
    <row r="1232" spans="3:37" s="124" customFormat="1" x14ac:dyDescent="0.25">
      <c r="C1232" s="126"/>
      <c r="E1232" s="9" t="s">
        <v>251</v>
      </c>
      <c r="F1232" s="9"/>
    </row>
    <row r="1233" spans="3:37" s="124" customFormat="1" x14ac:dyDescent="0.25">
      <c r="C1233" s="126"/>
      <c r="E1233" s="9"/>
      <c r="F1233" s="9" t="s">
        <v>1442</v>
      </c>
      <c r="H1233" s="9" t="s">
        <v>1519</v>
      </c>
      <c r="J1233" s="138">
        <f>J1156/Datasheet!I131</f>
        <v>1.49711049091149E-2</v>
      </c>
      <c r="K1233" s="138">
        <f>K1156/Datasheet!J131</f>
        <v>7.1657982015607908E-3</v>
      </c>
      <c r="L1233" s="138">
        <f>L1156/Datasheet!K131</f>
        <v>5.7254411539158197E-3</v>
      </c>
      <c r="M1233" s="138">
        <f>M1156/Datasheet!L131</f>
        <v>6.9369929484600678E-3</v>
      </c>
      <c r="N1233" s="138">
        <f>N1156/Datasheet!M131</f>
        <v>1.7714700803157808E-2</v>
      </c>
      <c r="O1233" s="138">
        <f>O1156/Datasheet!N131</f>
        <v>3.8044832299725943E-3</v>
      </c>
      <c r="P1233" s="138">
        <f>P1156/Datasheet!O131</f>
        <v>9.5925513503360739E-3</v>
      </c>
      <c r="Q1233" s="138">
        <f>Q1156/Datasheet!P131</f>
        <v>1.4710572476479031E-3</v>
      </c>
      <c r="R1233" s="138">
        <f>R1156/Datasheet!Q131</f>
        <v>1.8616636612010982E-3</v>
      </c>
      <c r="S1233" s="138">
        <f>S1156/Datasheet!R131</f>
        <v>0</v>
      </c>
      <c r="T1233" s="138">
        <f>T1156/Datasheet!S131</f>
        <v>1.054858747334543E-2</v>
      </c>
      <c r="U1233" s="138">
        <f>U1156/Datasheet!T131</f>
        <v>3.7938019212458284E-2</v>
      </c>
      <c r="V1233" s="138">
        <f>V1156/Datasheet!U131</f>
        <v>3.7199740889788508E-3</v>
      </c>
      <c r="W1233" s="138">
        <f>W1156/Datasheet!V131</f>
        <v>1.5195241587798013E-2</v>
      </c>
      <c r="X1233" s="138">
        <f>X1156/Datasheet!W131</f>
        <v>-5.7809162845251748E-3</v>
      </c>
      <c r="Y1233" s="138">
        <f>Y1156/Datasheet!X131</f>
        <v>-9.5818212751955165E-3</v>
      </c>
      <c r="Z1233" s="138">
        <f>Z1156/Datasheet!Y131</f>
        <v>-1.8531033345792229E-3</v>
      </c>
      <c r="AA1233" s="138">
        <f>AA1156/Datasheet!Z131</f>
        <v>-3.5302698576103477E-3</v>
      </c>
      <c r="AB1233" s="138">
        <f>AB1156/Datasheet!AA131</f>
        <v>0</v>
      </c>
      <c r="AC1233" s="138">
        <f>AC1156/Datasheet!AB131</f>
        <v>0</v>
      </c>
      <c r="AD1233" s="138">
        <f>AD1156/Datasheet!AC131</f>
        <v>0</v>
      </c>
      <c r="AE1233" s="138">
        <f>AE1156/Datasheet!AD131</f>
        <v>0</v>
      </c>
      <c r="AF1233" s="138">
        <f>AF1156/Datasheet!AE131</f>
        <v>0</v>
      </c>
      <c r="AG1233" s="138">
        <f>AG1156/Datasheet!AF131</f>
        <v>0</v>
      </c>
      <c r="AH1233" s="138">
        <f>AH1156/Datasheet!AG131</f>
        <v>0</v>
      </c>
      <c r="AI1233" s="138">
        <f>AI1156/Datasheet!AH131</f>
        <v>0</v>
      </c>
      <c r="AJ1233" s="138">
        <f>AJ1156/Datasheet!AI131</f>
        <v>0</v>
      </c>
      <c r="AK1233" s="138">
        <f>AK1156/Datasheet!AJ131</f>
        <v>0</v>
      </c>
    </row>
    <row r="1234" spans="3:37" s="124" customFormat="1" x14ac:dyDescent="0.25">
      <c r="C1234" s="126"/>
      <c r="E1234" s="9"/>
      <c r="F1234" s="9" t="s">
        <v>1444</v>
      </c>
      <c r="H1234" s="9" t="s">
        <v>1520</v>
      </c>
      <c r="R1234" s="138">
        <f>R1157/Datasheet!I131</f>
        <v>7.889431051191062E-2</v>
      </c>
      <c r="S1234" s="138">
        <f>S1157/Datasheet!J131</f>
        <v>7.023069368868759E-2</v>
      </c>
      <c r="T1234" s="138">
        <f>T1157/Datasheet!K131</f>
        <v>6.614029621003556E-2</v>
      </c>
      <c r="U1234" s="138">
        <f>U1157/Datasheet!L131</f>
        <v>9.8638063962759814E-2</v>
      </c>
      <c r="V1234" s="138">
        <f>V1157/Datasheet!M131</f>
        <v>9.6342616704585951E-2</v>
      </c>
      <c r="W1234" s="138">
        <f>W1157/Datasheet!N131</f>
        <v>0.10416271067746737</v>
      </c>
      <c r="X1234" s="138">
        <f>X1157/Datasheet!O131</f>
        <v>8.0168909400700317E-2</v>
      </c>
      <c r="Y1234" s="138">
        <f>Y1157/Datasheet!P131</f>
        <v>6.5437463456120767E-2</v>
      </c>
      <c r="Z1234" s="138">
        <f>Z1157/Datasheet!Q131</f>
        <v>5.3900006236506919E-2</v>
      </c>
      <c r="AA1234" s="138">
        <f>AA1157/Datasheet!R131</f>
        <v>4.8625220189926231E-2</v>
      </c>
      <c r="AB1234" s="138">
        <f>AB1157/Datasheet!S131</f>
        <v>4.6767015880163701E-2</v>
      </c>
      <c r="AC1234" s="138">
        <f>AC1157/Datasheet!T131</f>
        <v>4.6278839493600545E-2</v>
      </c>
      <c r="AD1234" s="138">
        <f>AD1157/Datasheet!U131</f>
        <v>3.4530350114465598E-2</v>
      </c>
      <c r="AE1234" s="138">
        <f>AE1157/Datasheet!V131</f>
        <v>-2.0134937418777765E-3</v>
      </c>
      <c r="AF1234" s="138">
        <f>AF1157/Datasheet!W131</f>
        <v>-5.6340698580050821E-3</v>
      </c>
      <c r="AG1234" s="138">
        <f>AG1157/Datasheet!X131</f>
        <v>-2.0721662269935017E-2</v>
      </c>
      <c r="AH1234" s="138">
        <f>AH1157/Datasheet!Y131</f>
        <v>-1.5051352041811548E-2</v>
      </c>
      <c r="AI1234" s="138">
        <f>AI1157/Datasheet!Z131</f>
        <v>-5.3868135595143609E-3</v>
      </c>
      <c r="AJ1234" s="138">
        <f>AJ1157/Datasheet!AA131</f>
        <v>-3.5427768158154617E-3</v>
      </c>
      <c r="AK1234" s="138">
        <f>AK1157/Datasheet!AB131</f>
        <v>0</v>
      </c>
    </row>
    <row r="1235" spans="3:37" s="124" customFormat="1" x14ac:dyDescent="0.25">
      <c r="C1235" s="126"/>
      <c r="E1235" s="9"/>
      <c r="F1235" s="9" t="s">
        <v>1445</v>
      </c>
      <c r="H1235" s="9" t="s">
        <v>1521</v>
      </c>
      <c r="T1235" s="138">
        <f>T1158/Datasheet!$S131</f>
        <v>1.054858747334543E-2</v>
      </c>
      <c r="U1235" s="138">
        <f>U1158/Datasheet!$S131</f>
        <v>4.8886799200031784E-2</v>
      </c>
      <c r="V1235" s="138">
        <f>V1158/Datasheet!$S131</f>
        <v>5.2788630915327865E-2</v>
      </c>
      <c r="W1235" s="138">
        <f>W1158/Datasheet!$S131</f>
        <v>6.8786008502973395E-2</v>
      </c>
      <c r="X1235" s="138">
        <f>X1158/Datasheet!$S131</f>
        <v>6.2607446061745897E-2</v>
      </c>
      <c r="Y1235" s="138">
        <f>Y1158/Datasheet!$S131</f>
        <v>5.2425731427890282E-2</v>
      </c>
      <c r="Z1235" s="138">
        <f>Z1158/Datasheet!$S131</f>
        <v>5.0475477795584284E-2</v>
      </c>
      <c r="AA1235" s="138">
        <f>AA1158/Datasheet!$S131</f>
        <v>4.6767015880163701E-2</v>
      </c>
      <c r="AB1235" s="138">
        <f>AB1158/Datasheet!$S131</f>
        <v>4.6767015880163701E-2</v>
      </c>
      <c r="AC1235" s="138">
        <f>AC1158/Datasheet!$S131</f>
        <v>4.6767015880163701E-2</v>
      </c>
      <c r="AD1235" s="138">
        <f>AD1158/Datasheet!$S131</f>
        <v>4.6767015880163701E-2</v>
      </c>
      <c r="AE1235" s="138">
        <f>AE1158/Datasheet!$S131</f>
        <v>4.6767015880163701E-2</v>
      </c>
      <c r="AF1235" s="138">
        <f>AF1158/Datasheet!$S131</f>
        <v>4.6767015880163701E-2</v>
      </c>
      <c r="AG1235" s="138">
        <f>AG1158/Datasheet!$S131</f>
        <v>4.6767015880163701E-2</v>
      </c>
      <c r="AH1235" s="138">
        <f>AH1158/Datasheet!$S131</f>
        <v>4.6767015880163701E-2</v>
      </c>
      <c r="AI1235" s="138">
        <f>AI1158/Datasheet!$S131</f>
        <v>4.6767015880163701E-2</v>
      </c>
      <c r="AJ1235" s="138">
        <f>AJ1158/Datasheet!$S131</f>
        <v>4.6767015880163701E-2</v>
      </c>
      <c r="AK1235" s="138">
        <f>AK1158/Datasheet!$S131</f>
        <v>4.6767015880163701E-2</v>
      </c>
    </row>
    <row r="1236" spans="3:37" s="124" customFormat="1" x14ac:dyDescent="0.25">
      <c r="C1236" s="126"/>
      <c r="E1236" s="9"/>
      <c r="F1236" s="9" t="s">
        <v>1446</v>
      </c>
      <c r="H1236" s="9" t="s">
        <v>1522</v>
      </c>
      <c r="AB1236" s="138">
        <f>AB1159/Datasheet!$AA131</f>
        <v>0</v>
      </c>
      <c r="AC1236" s="138">
        <f>AC1159/Datasheet!$AA131</f>
        <v>0</v>
      </c>
      <c r="AD1236" s="138">
        <f>AD1159/Datasheet!$AA131</f>
        <v>0</v>
      </c>
      <c r="AE1236" s="138">
        <f>AE1159/Datasheet!$AA131</f>
        <v>0</v>
      </c>
      <c r="AF1236" s="138">
        <f>AF1159/Datasheet!$AA131</f>
        <v>0</v>
      </c>
      <c r="AG1236" s="138">
        <f>AG1159/Datasheet!$AA131</f>
        <v>0</v>
      </c>
      <c r="AH1236" s="138">
        <f>AH1159/Datasheet!$AA131</f>
        <v>0</v>
      </c>
      <c r="AI1236" s="138">
        <f>AI1159/Datasheet!$AA131</f>
        <v>0</v>
      </c>
      <c r="AJ1236" s="138">
        <f>AJ1159/Datasheet!$AA131</f>
        <v>0</v>
      </c>
      <c r="AK1236" s="138">
        <f>AK1159/Datasheet!$AA131</f>
        <v>0</v>
      </c>
    </row>
    <row r="1237" spans="3:37" s="124" customFormat="1" x14ac:dyDescent="0.25">
      <c r="C1237" s="126"/>
      <c r="E1237" s="9" t="s">
        <v>252</v>
      </c>
      <c r="F1237" s="9"/>
    </row>
    <row r="1238" spans="3:37" s="124" customFormat="1" x14ac:dyDescent="0.25">
      <c r="C1238" s="126"/>
      <c r="E1238" s="9"/>
      <c r="F1238" s="9" t="s">
        <v>1442</v>
      </c>
      <c r="H1238" s="9" t="s">
        <v>1519</v>
      </c>
      <c r="J1238" s="138">
        <f>J1161/Datasheet!I132</f>
        <v>9.9889645229850041E-2</v>
      </c>
      <c r="K1238" s="138">
        <f>K1161/Datasheet!J132</f>
        <v>9.3029756887730547E-2</v>
      </c>
      <c r="L1238" s="138">
        <f>L1161/Datasheet!K132</f>
        <v>6.0608167885552247E-3</v>
      </c>
      <c r="M1238" s="138">
        <f>M1161/Datasheet!L132</f>
        <v>3.8170313326815449E-4</v>
      </c>
      <c r="N1238" s="138">
        <f>N1161/Datasheet!M132</f>
        <v>1.701347197356582E-2</v>
      </c>
      <c r="O1238" s="138">
        <f>O1161/Datasheet!N132</f>
        <v>1.2770274707730029E-2</v>
      </c>
      <c r="P1238" s="138">
        <f>P1161/Datasheet!O132</f>
        <v>1.7544278096708939E-2</v>
      </c>
      <c r="Q1238" s="138">
        <f>Q1161/Datasheet!P132</f>
        <v>1.00690608948909E-2</v>
      </c>
      <c r="R1238" s="138">
        <f>R1161/Datasheet!Q132</f>
        <v>0</v>
      </c>
      <c r="S1238" s="138">
        <f>S1161/Datasheet!R132</f>
        <v>9.3921465960992608E-3</v>
      </c>
      <c r="T1238" s="138">
        <f>T1161/Datasheet!S132</f>
        <v>-1.3880616638491123E-3</v>
      </c>
      <c r="U1238" s="138">
        <f>U1161/Datasheet!T132</f>
        <v>3.1338830464977908E-2</v>
      </c>
      <c r="V1238" s="138">
        <f>V1161/Datasheet!U132</f>
        <v>5.2710297063961117E-3</v>
      </c>
      <c r="W1238" s="138">
        <f>W1161/Datasheet!V132</f>
        <v>1.564829027682554E-2</v>
      </c>
      <c r="X1238" s="138">
        <f>X1161/Datasheet!W132</f>
        <v>1.0720127466346725E-2</v>
      </c>
      <c r="Y1238" s="138">
        <f>Y1161/Datasheet!X132</f>
        <v>6.1495634398076914E-3</v>
      </c>
      <c r="Z1238" s="138">
        <f>Z1161/Datasheet!Y132</f>
        <v>2.1577020523532491E-2</v>
      </c>
      <c r="AA1238" s="138">
        <f>AA1161/Datasheet!Z132</f>
        <v>1.3948664390228504E-2</v>
      </c>
      <c r="AB1238" s="138">
        <f>AB1161/Datasheet!AA132</f>
        <v>0</v>
      </c>
      <c r="AC1238" s="138">
        <f>AC1161/Datasheet!AB132</f>
        <v>0</v>
      </c>
      <c r="AD1238" s="138">
        <f>AD1161/Datasheet!AC132</f>
        <v>0</v>
      </c>
      <c r="AE1238" s="138">
        <f>AE1161/Datasheet!AD132</f>
        <v>0</v>
      </c>
      <c r="AF1238" s="138">
        <f>AF1161/Datasheet!AE132</f>
        <v>0</v>
      </c>
      <c r="AG1238" s="138">
        <f>AG1161/Datasheet!AF132</f>
        <v>0</v>
      </c>
      <c r="AH1238" s="138">
        <f>AH1161/Datasheet!AG132</f>
        <v>0</v>
      </c>
      <c r="AI1238" s="138">
        <f>AI1161/Datasheet!AH132</f>
        <v>0</v>
      </c>
      <c r="AJ1238" s="138">
        <f>AJ1161/Datasheet!AI132</f>
        <v>0</v>
      </c>
      <c r="AK1238" s="138">
        <f>AK1161/Datasheet!AJ132</f>
        <v>0</v>
      </c>
    </row>
    <row r="1239" spans="3:37" s="124" customFormat="1" x14ac:dyDescent="0.25">
      <c r="C1239" s="126"/>
      <c r="E1239" s="9"/>
      <c r="F1239" s="9" t="s">
        <v>1444</v>
      </c>
      <c r="H1239" s="9" t="s">
        <v>1520</v>
      </c>
      <c r="R1239" s="138">
        <f>R1162/Datasheet!I132</f>
        <v>0.2830711323811364</v>
      </c>
      <c r="S1239" s="138">
        <f>S1162/Datasheet!J132</f>
        <v>0.26632135817212277</v>
      </c>
      <c r="T1239" s="138">
        <f>T1162/Datasheet!K132</f>
        <v>0.15907326062516661</v>
      </c>
      <c r="U1239" s="138">
        <f>U1162/Datasheet!L132</f>
        <v>0.10696980705175418</v>
      </c>
      <c r="V1239" s="138">
        <f>V1162/Datasheet!M132</f>
        <v>0.10670788818292649</v>
      </c>
      <c r="W1239" s="138">
        <f>W1162/Datasheet!N132</f>
        <v>0.12157011648525685</v>
      </c>
      <c r="X1239" s="138">
        <f>X1162/Datasheet!O132</f>
        <v>0.11521398533430131</v>
      </c>
      <c r="Y1239" s="138">
        <f>Y1162/Datasheet!P132</f>
        <v>0.10749927481665314</v>
      </c>
      <c r="Z1239" s="138">
        <f>Z1162/Datasheet!Q132</f>
        <v>0.11264774265039691</v>
      </c>
      <c r="AA1239" s="138">
        <f>AA1162/Datasheet!R132</f>
        <v>0.11805995715481268</v>
      </c>
      <c r="AB1239" s="138">
        <f>AB1162/Datasheet!S132</f>
        <v>0.1169614381813231</v>
      </c>
      <c r="AC1239" s="138">
        <f>AC1162/Datasheet!T132</f>
        <v>0.10780632503487568</v>
      </c>
      <c r="AD1239" s="138">
        <f>AD1162/Datasheet!U132</f>
        <v>0.10587821661169616</v>
      </c>
      <c r="AE1239" s="138">
        <f>AE1162/Datasheet!V132</f>
        <v>7.5095832766617715E-2</v>
      </c>
      <c r="AF1239" s="138">
        <f>AF1162/Datasheet!W132</f>
        <v>6.8776211019115852E-2</v>
      </c>
      <c r="AG1239" s="138">
        <f>AG1162/Datasheet!X132</f>
        <v>5.28029624982762E-2</v>
      </c>
      <c r="AH1239" s="138">
        <f>AH1162/Datasheet!Y132</f>
        <v>4.1938632978341009E-2</v>
      </c>
      <c r="AI1239" s="138">
        <f>AI1162/Datasheet!Z132</f>
        <v>3.506995049010065E-2</v>
      </c>
      <c r="AJ1239" s="138">
        <f>AJ1162/Datasheet!AA132</f>
        <v>1.3756775742307421E-2</v>
      </c>
      <c r="AK1239" s="138">
        <f>AK1162/Datasheet!AB132</f>
        <v>0</v>
      </c>
    </row>
    <row r="1240" spans="3:37" s="124" customFormat="1" x14ac:dyDescent="0.25">
      <c r="C1240" s="126"/>
      <c r="E1240" s="9"/>
      <c r="F1240" s="9" t="s">
        <v>1445</v>
      </c>
      <c r="H1240" s="9" t="s">
        <v>1521</v>
      </c>
      <c r="T1240" s="138">
        <f>T1163/Datasheet!$S132</f>
        <v>-1.3880616638491123E-3</v>
      </c>
      <c r="U1240" s="138">
        <f>U1163/Datasheet!$S132</f>
        <v>2.9907268571970496E-2</v>
      </c>
      <c r="V1240" s="138">
        <f>V1163/Datasheet!$S132</f>
        <v>3.533594037944663E-2</v>
      </c>
      <c r="W1240" s="138">
        <f>W1163/Datasheet!$S132</f>
        <v>5.1537177708534353E-2</v>
      </c>
      <c r="X1240" s="138">
        <f>X1163/Datasheet!$S132</f>
        <v>6.2809790289172329E-2</v>
      </c>
      <c r="Y1240" s="138">
        <f>Y1163/Datasheet!$S132</f>
        <v>6.9345606519004302E-2</v>
      </c>
      <c r="Z1240" s="138">
        <f>Z1163/Datasheet!$S132</f>
        <v>9.2418898617614154E-2</v>
      </c>
      <c r="AA1240" s="138">
        <f>AA1163/Datasheet!$S132</f>
        <v>0.10765668320797431</v>
      </c>
      <c r="AB1240" s="138">
        <f>AB1163/Datasheet!$S132</f>
        <v>0.10765668320797431</v>
      </c>
      <c r="AC1240" s="138">
        <f>AC1163/Datasheet!$S132</f>
        <v>0.10765668320797431</v>
      </c>
      <c r="AD1240" s="138">
        <f>AD1163/Datasheet!$S132</f>
        <v>0.10765668320797431</v>
      </c>
      <c r="AE1240" s="138">
        <f>AE1163/Datasheet!$S132</f>
        <v>0.10765668320797431</v>
      </c>
      <c r="AF1240" s="138">
        <f>AF1163/Datasheet!$S132</f>
        <v>0.10765668320797431</v>
      </c>
      <c r="AG1240" s="138">
        <f>AG1163/Datasheet!$S132</f>
        <v>0.10765668320797431</v>
      </c>
      <c r="AH1240" s="138">
        <f>AH1163/Datasheet!$S132</f>
        <v>0.10765668320797431</v>
      </c>
      <c r="AI1240" s="138">
        <f>AI1163/Datasheet!$S132</f>
        <v>0.10765668320797431</v>
      </c>
      <c r="AJ1240" s="138">
        <f>AJ1163/Datasheet!$S132</f>
        <v>0.10765668320797431</v>
      </c>
      <c r="AK1240" s="138">
        <f>AK1163/Datasheet!$S132</f>
        <v>0.10765668320797431</v>
      </c>
    </row>
    <row r="1241" spans="3:37" s="124" customFormat="1" x14ac:dyDescent="0.25">
      <c r="C1241" s="126"/>
      <c r="E1241" s="9"/>
      <c r="F1241" s="9" t="s">
        <v>1446</v>
      </c>
      <c r="H1241" s="9" t="s">
        <v>1522</v>
      </c>
      <c r="AB1241" s="138">
        <f>AB1164/Datasheet!$AA132</f>
        <v>0</v>
      </c>
      <c r="AC1241" s="138">
        <f>AC1164/Datasheet!$AA132</f>
        <v>0</v>
      </c>
      <c r="AD1241" s="138">
        <f>AD1164/Datasheet!$AA132</f>
        <v>0</v>
      </c>
      <c r="AE1241" s="138">
        <f>AE1164/Datasheet!$AA132</f>
        <v>0</v>
      </c>
      <c r="AF1241" s="138">
        <f>AF1164/Datasheet!$AA132</f>
        <v>0</v>
      </c>
      <c r="AG1241" s="138">
        <f>AG1164/Datasheet!$AA132</f>
        <v>0</v>
      </c>
      <c r="AH1241" s="138">
        <f>AH1164/Datasheet!$AA132</f>
        <v>0</v>
      </c>
      <c r="AI1241" s="138">
        <f>AI1164/Datasheet!$AA132</f>
        <v>0</v>
      </c>
      <c r="AJ1241" s="138">
        <f>AJ1164/Datasheet!$AA132</f>
        <v>0</v>
      </c>
      <c r="AK1241" s="138">
        <f>AK1164/Datasheet!$AA132</f>
        <v>0</v>
      </c>
    </row>
    <row r="1242" spans="3:37" s="124" customFormat="1" x14ac:dyDescent="0.25">
      <c r="C1242" s="126"/>
      <c r="E1242" s="9" t="s">
        <v>253</v>
      </c>
      <c r="F1242" s="9"/>
    </row>
    <row r="1243" spans="3:37" s="124" customFormat="1" x14ac:dyDescent="0.25">
      <c r="C1243" s="126"/>
      <c r="F1243" s="9" t="s">
        <v>1442</v>
      </c>
      <c r="H1243" s="9" t="s">
        <v>1519</v>
      </c>
      <c r="J1243" s="138">
        <f>J1166/Datasheet!I133</f>
        <v>1.1037098836550586E-2</v>
      </c>
      <c r="K1243" s="138">
        <f>K1166/Datasheet!J133</f>
        <v>2.3987146312569312E-2</v>
      </c>
      <c r="L1243" s="138">
        <f>L1166/Datasheet!K133</f>
        <v>6.8358442296759525E-2</v>
      </c>
      <c r="M1243" s="138">
        <f>M1166/Datasheet!L133</f>
        <v>0.12400142610652963</v>
      </c>
      <c r="N1243" s="138">
        <f>N1166/Datasheet!M133</f>
        <v>0.11269800220970673</v>
      </c>
      <c r="O1243" s="138">
        <f>O1166/Datasheet!N133</f>
        <v>3.7537441710065013E-3</v>
      </c>
      <c r="P1243" s="138">
        <f>P1166/Datasheet!O133</f>
        <v>1.9493311658791276E-3</v>
      </c>
      <c r="Q1243" s="138">
        <f>Q1166/Datasheet!P133</f>
        <v>1.8821328265096696E-2</v>
      </c>
      <c r="R1243" s="138">
        <f>R1166/Datasheet!Q133</f>
        <v>3.149979445484858E-2</v>
      </c>
      <c r="S1243" s="138">
        <f>S1166/Datasheet!R133</f>
        <v>1.5074944484169496E-2</v>
      </c>
      <c r="T1243" s="138">
        <f>T1166/Datasheet!S133</f>
        <v>1.240811033353179E-3</v>
      </c>
      <c r="U1243" s="138">
        <f>U1166/Datasheet!T133</f>
        <v>4.7451840145128167E-3</v>
      </c>
      <c r="V1243" s="138">
        <f>V1166/Datasheet!U133</f>
        <v>1.6498662603557059E-2</v>
      </c>
      <c r="W1243" s="138">
        <f>W1166/Datasheet!V133</f>
        <v>2.0685506135601321E-3</v>
      </c>
      <c r="X1243" s="138">
        <f>X1166/Datasheet!W133</f>
        <v>6.2020334155110819E-4</v>
      </c>
      <c r="Y1243" s="138">
        <f>Y1166/Datasheet!X133</f>
        <v>4.3249050207267062E-2</v>
      </c>
      <c r="Z1243" s="138">
        <f>Z1166/Datasheet!Y133</f>
        <v>2.9509685791083512E-2</v>
      </c>
      <c r="AA1243" s="138">
        <f>AA1166/Datasheet!Z133</f>
        <v>1.3465821822968153E-2</v>
      </c>
      <c r="AB1243" s="138">
        <f>AB1166/Datasheet!AA133</f>
        <v>0</v>
      </c>
      <c r="AC1243" s="138">
        <f>AC1166/Datasheet!AB133</f>
        <v>0</v>
      </c>
      <c r="AD1243" s="138">
        <f>AD1166/Datasheet!AC133</f>
        <v>0</v>
      </c>
      <c r="AE1243" s="138">
        <f>AE1166/Datasheet!AD133</f>
        <v>0</v>
      </c>
      <c r="AF1243" s="138">
        <f>AF1166/Datasheet!AE133</f>
        <v>0</v>
      </c>
      <c r="AG1243" s="138">
        <f>AG1166/Datasheet!AF133</f>
        <v>0</v>
      </c>
      <c r="AH1243" s="138">
        <f>AH1166/Datasheet!AG133</f>
        <v>0</v>
      </c>
      <c r="AI1243" s="138">
        <f>AI1166/Datasheet!AH133</f>
        <v>0</v>
      </c>
      <c r="AJ1243" s="138">
        <f>AJ1166/Datasheet!AI133</f>
        <v>0</v>
      </c>
      <c r="AK1243" s="138">
        <f>AK1166/Datasheet!AJ133</f>
        <v>0</v>
      </c>
    </row>
    <row r="1244" spans="3:37" s="124" customFormat="1" x14ac:dyDescent="0.25">
      <c r="C1244" s="126"/>
      <c r="E1244" s="9"/>
      <c r="F1244" s="9" t="s">
        <v>1444</v>
      </c>
      <c r="H1244" s="9" t="s">
        <v>1520</v>
      </c>
      <c r="R1244" s="138">
        <f>R1167/Datasheet!I133</f>
        <v>0.55273632060410494</v>
      </c>
      <c r="S1244" s="138">
        <f>S1167/Datasheet!J133</f>
        <v>0.4788078612407185</v>
      </c>
      <c r="T1244" s="138">
        <f>T1167/Datasheet!K133</f>
        <v>0.45870949403069927</v>
      </c>
      <c r="U1244" s="138">
        <f>U1167/Datasheet!L133</f>
        <v>0.41380769113086791</v>
      </c>
      <c r="V1244" s="138">
        <f>V1167/Datasheet!M133</f>
        <v>0.33104353903410844</v>
      </c>
      <c r="W1244" s="138">
        <f>W1167/Datasheet!N133</f>
        <v>0.20063597722863269</v>
      </c>
      <c r="X1244" s="138">
        <f>X1167/Datasheet!O133</f>
        <v>9.9660151940800523E-2</v>
      </c>
      <c r="Y1244" s="138">
        <f>Y1167/Datasheet!P133</f>
        <v>0.14303913340768581</v>
      </c>
      <c r="Z1244" s="138">
        <f>Z1167/Datasheet!Q133</f>
        <v>0.17153832898020538</v>
      </c>
      <c r="AA1244" s="138">
        <f>AA1167/Datasheet!R133</f>
        <v>0.16344323446575731</v>
      </c>
      <c r="AB1244" s="138">
        <f>AB1167/Datasheet!S133</f>
        <v>0.13093158981949993</v>
      </c>
      <c r="AC1244" s="138">
        <f>AC1167/Datasheet!T133</f>
        <v>0.1159366688253689</v>
      </c>
      <c r="AD1244" s="138">
        <f>AD1167/Datasheet!U133</f>
        <v>0.11415570566634274</v>
      </c>
      <c r="AE1244" s="138">
        <f>AE1167/Datasheet!V133</f>
        <v>0.10765673985370348</v>
      </c>
      <c r="AF1244" s="138">
        <f>AF1167/Datasheet!W133</f>
        <v>9.1237136344109321E-2</v>
      </c>
      <c r="AG1244" s="138">
        <f>AG1167/Datasheet!X133</f>
        <v>8.911758477546794E-2</v>
      </c>
      <c r="AH1244" s="138">
        <f>AH1167/Datasheet!Y133</f>
        <v>8.4828992492353317E-2</v>
      </c>
      <c r="AI1244" s="138">
        <f>AI1167/Datasheet!Z133</f>
        <v>4.2129647135508104E-2</v>
      </c>
      <c r="AJ1244" s="138">
        <f>AJ1167/Datasheet!AA133</f>
        <v>1.3286902757851816E-2</v>
      </c>
      <c r="AK1244" s="138">
        <f>AK1167/Datasheet!AB133</f>
        <v>0</v>
      </c>
    </row>
    <row r="1245" spans="3:37" s="124" customFormat="1" x14ac:dyDescent="0.25">
      <c r="C1245" s="126"/>
      <c r="E1245" s="9"/>
      <c r="F1245" s="9" t="s">
        <v>1445</v>
      </c>
      <c r="H1245" s="9" t="s">
        <v>1521</v>
      </c>
      <c r="T1245" s="138">
        <f>T1168/Datasheet!$S133</f>
        <v>1.240811033353179E-3</v>
      </c>
      <c r="U1245" s="138">
        <f>U1168/Datasheet!$S133</f>
        <v>5.9918829245464945E-3</v>
      </c>
      <c r="V1245" s="138">
        <f>V1168/Datasheet!$S133</f>
        <v>2.2589403582835663E-2</v>
      </c>
      <c r="W1245" s="138">
        <f>W1168/Datasheet!$S133</f>
        <v>2.4704681521037025E-2</v>
      </c>
      <c r="X1245" s="138">
        <f>X1168/Datasheet!$S133</f>
        <v>2.5340206788619438E-2</v>
      </c>
      <c r="Y1245" s="138">
        <f>Y1168/Datasheet!$S133</f>
        <v>6.9685196871550031E-2</v>
      </c>
      <c r="Z1245" s="138">
        <f>Z1168/Datasheet!$S133</f>
        <v>0.10125127092660278</v>
      </c>
      <c r="AA1245" s="138">
        <f>AA1168/Datasheet!$S133</f>
        <v>0.11608052432321764</v>
      </c>
      <c r="AB1245" s="138">
        <f>AB1168/Datasheet!$S133</f>
        <v>0.11608052432321764</v>
      </c>
      <c r="AC1245" s="138">
        <f>AC1168/Datasheet!$S133</f>
        <v>0.11608052432321764</v>
      </c>
      <c r="AD1245" s="138">
        <f>AD1168/Datasheet!$S133</f>
        <v>0.11608052432321764</v>
      </c>
      <c r="AE1245" s="138">
        <f>AE1168/Datasheet!$S133</f>
        <v>0.11608052432321764</v>
      </c>
      <c r="AF1245" s="138">
        <f>AF1168/Datasheet!$S133</f>
        <v>0.11608052432321764</v>
      </c>
      <c r="AG1245" s="138">
        <f>AG1168/Datasheet!$S133</f>
        <v>0.11608052432321764</v>
      </c>
      <c r="AH1245" s="138">
        <f>AH1168/Datasheet!$S133</f>
        <v>0.11608052432321764</v>
      </c>
      <c r="AI1245" s="138">
        <f>AI1168/Datasheet!$S133</f>
        <v>0.11608052432321764</v>
      </c>
      <c r="AJ1245" s="138">
        <f>AJ1168/Datasheet!$S133</f>
        <v>0.11608052432321764</v>
      </c>
      <c r="AK1245" s="138">
        <f>AK1168/Datasheet!$S133</f>
        <v>0.11608052432321764</v>
      </c>
    </row>
    <row r="1246" spans="3:37" s="124" customFormat="1" x14ac:dyDescent="0.25">
      <c r="C1246" s="126"/>
      <c r="E1246" s="9"/>
      <c r="F1246" s="9" t="s">
        <v>1446</v>
      </c>
      <c r="H1246" s="9" t="s">
        <v>1522</v>
      </c>
      <c r="AB1246" s="138">
        <f>AB1169/Datasheet!$AA133</f>
        <v>0</v>
      </c>
      <c r="AC1246" s="138">
        <f>AC1169/Datasheet!$AA133</f>
        <v>0</v>
      </c>
      <c r="AD1246" s="138">
        <f>AD1169/Datasheet!$AA133</f>
        <v>0</v>
      </c>
      <c r="AE1246" s="138">
        <f>AE1169/Datasheet!$AA133</f>
        <v>0</v>
      </c>
      <c r="AF1246" s="138">
        <f>AF1169/Datasheet!$AA133</f>
        <v>0</v>
      </c>
      <c r="AG1246" s="138">
        <f>AG1169/Datasheet!$AA133</f>
        <v>0</v>
      </c>
      <c r="AH1246" s="138">
        <f>AH1169/Datasheet!$AA133</f>
        <v>0</v>
      </c>
      <c r="AI1246" s="138">
        <f>AI1169/Datasheet!$AA133</f>
        <v>0</v>
      </c>
      <c r="AJ1246" s="138">
        <f>AJ1169/Datasheet!$AA133</f>
        <v>0</v>
      </c>
      <c r="AK1246" s="138">
        <f>AK1169/Datasheet!$AA133</f>
        <v>0</v>
      </c>
    </row>
    <row r="1247" spans="3:37" s="124" customFormat="1" x14ac:dyDescent="0.25">
      <c r="C1247" s="126"/>
      <c r="D1247" s="124" t="s">
        <v>38</v>
      </c>
      <c r="E1247" s="109"/>
      <c r="F1247" s="109"/>
    </row>
    <row r="1248" spans="3:37" s="124" customFormat="1" x14ac:dyDescent="0.25">
      <c r="C1248" s="126"/>
      <c r="D1248" s="126"/>
      <c r="E1248" s="9" t="s">
        <v>483</v>
      </c>
      <c r="F1248" s="9"/>
    </row>
    <row r="1249" spans="3:37" s="124" customFormat="1" x14ac:dyDescent="0.25">
      <c r="C1249" s="126"/>
      <c r="D1249" s="126"/>
      <c r="E1249" s="9"/>
      <c r="F1249" s="9" t="s">
        <v>1442</v>
      </c>
      <c r="H1249" s="9" t="s">
        <v>1519</v>
      </c>
      <c r="J1249" s="138">
        <f>J1172/Datasheet!I118</f>
        <v>7.1770334928229667E-3</v>
      </c>
      <c r="K1249" s="138">
        <f>K1172/Datasheet!J118</f>
        <v>8.9530422071989763E-3</v>
      </c>
      <c r="L1249" s="138">
        <f>L1172/Datasheet!K118</f>
        <v>1.5574067366896052E-2</v>
      </c>
      <c r="M1249" s="138">
        <f>M1172/Datasheet!L118</f>
        <v>1.5691868758915834E-2</v>
      </c>
      <c r="N1249" s="138">
        <f>N1172/Datasheet!M118</f>
        <v>9.480337078651686E-3</v>
      </c>
      <c r="O1249" s="138">
        <f>O1172/Datasheet!N118</f>
        <v>4.5217391304347822E-3</v>
      </c>
      <c r="P1249" s="138">
        <f>P1172/Datasheet!O118</f>
        <v>4.6745152354570633E-3</v>
      </c>
      <c r="Q1249" s="138">
        <f>Q1172/Datasheet!P118</f>
        <v>6.0313630880579009E-3</v>
      </c>
      <c r="R1249" s="138">
        <f>R1172/Datasheet!Q118</f>
        <v>1.7129153819801302E-4</v>
      </c>
      <c r="S1249" s="138">
        <f>S1172/Datasheet!R118</f>
        <v>4.452817263230005E-3</v>
      </c>
      <c r="T1249" s="138">
        <f>T1172/Datasheet!S118</f>
        <v>0</v>
      </c>
      <c r="U1249" s="138">
        <f>U1172/Datasheet!T118</f>
        <v>9.7186700767263427E-3</v>
      </c>
      <c r="V1249" s="138">
        <f>V1172/Datasheet!U118</f>
        <v>0</v>
      </c>
      <c r="W1249" s="138">
        <f>W1172/Datasheet!V118</f>
        <v>0</v>
      </c>
      <c r="X1249" s="138">
        <f>X1172/Datasheet!W118</f>
        <v>2.1952043228638973E-2</v>
      </c>
      <c r="Y1249" s="138">
        <f>Y1172/Datasheet!X118</f>
        <v>1.751487111698612E-2</v>
      </c>
      <c r="Z1249" s="138">
        <f>Z1172/Datasheet!Y118</f>
        <v>4.8717115946735951E-4</v>
      </c>
      <c r="AA1249" s="138">
        <f>AA1172/Datasheet!Z118</f>
        <v>6.1678298977438728E-3</v>
      </c>
      <c r="AB1249" s="138">
        <f>AB1172/Datasheet!AA118</f>
        <v>0</v>
      </c>
      <c r="AC1249" s="138">
        <f>AC1172/Datasheet!AB118</f>
        <v>0</v>
      </c>
      <c r="AD1249" s="138">
        <f>AD1172/Datasheet!AC118</f>
        <v>0</v>
      </c>
      <c r="AE1249" s="138">
        <f>AE1172/Datasheet!AD118</f>
        <v>0</v>
      </c>
      <c r="AF1249" s="138">
        <f>AF1172/Datasheet!AE118</f>
        <v>0</v>
      </c>
      <c r="AG1249" s="138">
        <f>AG1172/Datasheet!AF118</f>
        <v>0</v>
      </c>
      <c r="AH1249" s="138">
        <f>AH1172/Datasheet!AG118</f>
        <v>0</v>
      </c>
      <c r="AI1249" s="138">
        <f>AI1172/Datasheet!AH118</f>
        <v>0</v>
      </c>
      <c r="AJ1249" s="138">
        <f>AJ1172/Datasheet!AI118</f>
        <v>0</v>
      </c>
      <c r="AK1249" s="138">
        <f>AK1172/Datasheet!AJ118</f>
        <v>0</v>
      </c>
    </row>
    <row r="1250" spans="3:37" s="124" customFormat="1" x14ac:dyDescent="0.25">
      <c r="C1250" s="126"/>
      <c r="E1250" s="9"/>
      <c r="F1250" s="9" t="s">
        <v>1444</v>
      </c>
      <c r="H1250" s="9" t="s">
        <v>1520</v>
      </c>
      <c r="R1250" s="138">
        <f>R1173/Datasheet!I118</f>
        <v>7.4530732425469273E-2</v>
      </c>
      <c r="S1250" s="138">
        <f>S1173/Datasheet!J118</f>
        <v>7.8750228393933863E-2</v>
      </c>
      <c r="T1250" s="138">
        <f>T1173/Datasheet!K118</f>
        <v>7.0988772183991314E-2</v>
      </c>
      <c r="U1250" s="138">
        <f>U1173/Datasheet!L118</f>
        <v>7.1326676176890161E-2</v>
      </c>
      <c r="V1250" s="138">
        <f>V1173/Datasheet!M118</f>
        <v>5.5126404494382025E-2</v>
      </c>
      <c r="W1250" s="138">
        <f>W1173/Datasheet!N118</f>
        <v>3.9304347826086959E-2</v>
      </c>
      <c r="X1250" s="138">
        <f>X1173/Datasheet!O118</f>
        <v>5.2285318559556787E-2</v>
      </c>
      <c r="Y1250" s="138">
        <f>Y1173/Datasheet!P118</f>
        <v>6.5828019989660522E-2</v>
      </c>
      <c r="Z1250" s="138">
        <f>Z1173/Datasheet!Q118</f>
        <v>6.132237067488866E-2</v>
      </c>
      <c r="AA1250" s="138">
        <f>AA1173/Datasheet!R118</f>
        <v>6.1825655077924299E-2</v>
      </c>
      <c r="AB1250" s="138">
        <f>AB1173/Datasheet!S118</f>
        <v>6.1381074168797956E-2</v>
      </c>
      <c r="AC1250" s="138">
        <f>AC1173/Datasheet!T118</f>
        <v>5.6947996589940326E-2</v>
      </c>
      <c r="AD1250" s="138">
        <f>AD1173/Datasheet!U118</f>
        <v>5.6399864910503208E-2</v>
      </c>
      <c r="AE1250" s="138">
        <f>AE1173/Datasheet!V118</f>
        <v>4.6774738264099967E-2</v>
      </c>
      <c r="AF1250" s="138">
        <f>AF1173/Datasheet!W118</f>
        <v>4.6774738264099967E-2</v>
      </c>
      <c r="AG1250" s="138">
        <f>AG1173/Datasheet!X118</f>
        <v>4.5769993390614674E-2</v>
      </c>
      <c r="AH1250" s="138">
        <f>AH1173/Datasheet!Y118</f>
        <v>2.3871386813900618E-2</v>
      </c>
      <c r="AI1250" s="138">
        <f>AI1173/Datasheet!Z118</f>
        <v>6.6547638370394414E-3</v>
      </c>
      <c r="AJ1250" s="138">
        <f>AJ1173/Datasheet!AA118</f>
        <v>6.1300209711243753E-3</v>
      </c>
      <c r="AK1250" s="138">
        <f>AK1173/Datasheet!AB118</f>
        <v>0</v>
      </c>
    </row>
    <row r="1251" spans="3:37" s="124" customFormat="1" x14ac:dyDescent="0.25">
      <c r="C1251" s="126"/>
      <c r="E1251" s="9"/>
      <c r="F1251" s="9" t="s">
        <v>1445</v>
      </c>
      <c r="H1251" s="9" t="s">
        <v>1521</v>
      </c>
      <c r="T1251" s="138">
        <f>T1174/Datasheet!$S118</f>
        <v>0</v>
      </c>
      <c r="U1251" s="138">
        <f>U1174/Datasheet!$S118</f>
        <v>9.7186700767263427E-3</v>
      </c>
      <c r="V1251" s="138">
        <f>V1174/Datasheet!$S118</f>
        <v>9.7186700767263427E-3</v>
      </c>
      <c r="W1251" s="138">
        <f>W1174/Datasheet!$S118</f>
        <v>9.7186700767263427E-3</v>
      </c>
      <c r="X1251" s="138">
        <f>X1174/Datasheet!$S118</f>
        <v>3.1884057971014491E-2</v>
      </c>
      <c r="Y1251" s="138">
        <f>Y1174/Datasheet!$S118</f>
        <v>4.9957374254049447E-2</v>
      </c>
      <c r="Z1251" s="138">
        <f>Z1174/Datasheet!$S118</f>
        <v>5.0468883205456096E-2</v>
      </c>
      <c r="AA1251" s="138">
        <f>AA1174/Datasheet!$S118</f>
        <v>5.6947996589940326E-2</v>
      </c>
      <c r="AB1251" s="138">
        <f>AB1174/Datasheet!$S118</f>
        <v>5.6947996589940326E-2</v>
      </c>
      <c r="AC1251" s="138">
        <f>AC1174/Datasheet!$S118</f>
        <v>5.6947996589940326E-2</v>
      </c>
      <c r="AD1251" s="138">
        <f>AD1174/Datasheet!$S118</f>
        <v>5.6947996589940326E-2</v>
      </c>
      <c r="AE1251" s="138">
        <f>AE1174/Datasheet!$S118</f>
        <v>5.6947996589940326E-2</v>
      </c>
      <c r="AF1251" s="138">
        <f>AF1174/Datasheet!$S118</f>
        <v>5.6947996589940326E-2</v>
      </c>
      <c r="AG1251" s="138">
        <f>AG1174/Datasheet!$S118</f>
        <v>5.6947996589940326E-2</v>
      </c>
      <c r="AH1251" s="138">
        <f>AH1174/Datasheet!$S118</f>
        <v>5.6947996589940326E-2</v>
      </c>
      <c r="AI1251" s="138">
        <f>AI1174/Datasheet!$S118</f>
        <v>5.6947996589940326E-2</v>
      </c>
      <c r="AJ1251" s="138">
        <f>AJ1174/Datasheet!$S118</f>
        <v>5.6947996589940326E-2</v>
      </c>
      <c r="AK1251" s="138">
        <f>AK1174/Datasheet!$S118</f>
        <v>5.6947996589940326E-2</v>
      </c>
    </row>
    <row r="1252" spans="3:37" s="124" customFormat="1" x14ac:dyDescent="0.25">
      <c r="C1252" s="126"/>
      <c r="E1252" s="9"/>
      <c r="F1252" s="9" t="s">
        <v>1446</v>
      </c>
      <c r="H1252" s="9" t="s">
        <v>1522</v>
      </c>
      <c r="AB1252" s="138">
        <f>AB1175/Datasheet!$AA118</f>
        <v>0</v>
      </c>
      <c r="AC1252" s="138">
        <f>AC1175/Datasheet!$AA118</f>
        <v>0</v>
      </c>
      <c r="AD1252" s="138">
        <f>AD1175/Datasheet!$AA118</f>
        <v>0</v>
      </c>
      <c r="AE1252" s="138">
        <f>AE1175/Datasheet!$AA118</f>
        <v>0</v>
      </c>
      <c r="AF1252" s="138">
        <f>AF1175/Datasheet!$AA118</f>
        <v>0</v>
      </c>
      <c r="AG1252" s="138">
        <f>AG1175/Datasheet!$AA118</f>
        <v>0</v>
      </c>
      <c r="AH1252" s="138">
        <f>AH1175/Datasheet!$AA118</f>
        <v>0</v>
      </c>
      <c r="AI1252" s="138">
        <f>AI1175/Datasheet!$AA118</f>
        <v>0</v>
      </c>
      <c r="AJ1252" s="138">
        <f>AJ1175/Datasheet!$AA118</f>
        <v>0</v>
      </c>
      <c r="AK1252" s="138">
        <f>AK1175/Datasheet!$AA118</f>
        <v>0</v>
      </c>
    </row>
    <row r="1253" spans="3:37" s="124" customFormat="1" x14ac:dyDescent="0.25">
      <c r="C1253" s="126"/>
      <c r="D1253" s="124" t="s">
        <v>234</v>
      </c>
    </row>
    <row r="1254" spans="3:37" s="124" customFormat="1" x14ac:dyDescent="0.25">
      <c r="C1254" s="126"/>
      <c r="F1254" s="124" t="s">
        <v>1442</v>
      </c>
      <c r="H1254" s="124" t="s">
        <v>1523</v>
      </c>
      <c r="J1254" s="267">
        <f>J1177/Datasheet!I103</f>
        <v>2.2941970310391364E-2</v>
      </c>
      <c r="K1254" s="267">
        <f>K1177/Datasheet!J103</f>
        <v>3.8498440873111058E-2</v>
      </c>
      <c r="L1254" s="267">
        <f>L1177/Datasheet!K103</f>
        <v>1.8015937175193439E-2</v>
      </c>
      <c r="M1254" s="267">
        <f>M1177/Datasheet!L103</f>
        <v>2.90414066931367E-2</v>
      </c>
      <c r="N1254" s="267">
        <f>N1177/Datasheet!M103</f>
        <v>1.8187830687830687E-2</v>
      </c>
      <c r="O1254" s="267">
        <f>O1177/Datasheet!N103</f>
        <v>1.7861008876380167E-2</v>
      </c>
      <c r="P1254" s="267">
        <f>P1177/Datasheet!O103</f>
        <v>1.9142826757417845E-2</v>
      </c>
      <c r="Q1254" s="267">
        <f>Q1177/Datasheet!P103</f>
        <v>1.7737896494156927E-2</v>
      </c>
      <c r="R1254" s="267">
        <f>R1177/Datasheet!Q103</f>
        <v>6.9714988722575357E-3</v>
      </c>
      <c r="S1254" s="267">
        <f>S1177/Datasheet!R103</f>
        <v>6.8214212991244147E-3</v>
      </c>
      <c r="T1254" s="267">
        <f>T1177/Datasheet!S103</f>
        <v>6.370714935787238E-3</v>
      </c>
      <c r="U1254" s="267">
        <f>U1177/Datasheet!T103</f>
        <v>1.045016077170418E-2</v>
      </c>
      <c r="V1254" s="267">
        <f>V1177/Datasheet!U103</f>
        <v>1.2626764764366673E-2</v>
      </c>
      <c r="W1254" s="267">
        <f>W1177/Datasheet!V103</f>
        <v>1.3058419243986255E-2</v>
      </c>
      <c r="X1254" s="267">
        <f>X1177/Datasheet!W103</f>
        <v>1.2211668928086838E-2</v>
      </c>
      <c r="Y1254" s="267">
        <f>Y1177/Datasheet!X103</f>
        <v>1.7139027192646497E-2</v>
      </c>
      <c r="Z1254" s="267">
        <f>Z1177/Datasheet!Y103</f>
        <v>2.0521509931281181E-2</v>
      </c>
      <c r="AA1254" s="267">
        <f>AA1177/Datasheet!Z103</f>
        <v>2.0108846047412601E-2</v>
      </c>
      <c r="AB1254" s="267">
        <f>AB1177/Datasheet!AA103</f>
        <v>0</v>
      </c>
      <c r="AC1254" s="267">
        <f>AC1177/Datasheet!AB103</f>
        <v>0</v>
      </c>
      <c r="AD1254" s="267">
        <f>AD1177/Datasheet!AC103</f>
        <v>0</v>
      </c>
      <c r="AE1254" s="267">
        <f>AE1177/Datasheet!AD103</f>
        <v>0</v>
      </c>
      <c r="AF1254" s="267">
        <f>AF1177/Datasheet!AE103</f>
        <v>0</v>
      </c>
      <c r="AG1254" s="267">
        <f>AG1177/Datasheet!AF103</f>
        <v>0</v>
      </c>
      <c r="AH1254" s="267">
        <f>AH1177/Datasheet!AG103</f>
        <v>0</v>
      </c>
      <c r="AI1254" s="267">
        <f>AI1177/Datasheet!AH103</f>
        <v>0</v>
      </c>
      <c r="AJ1254" s="267">
        <f>AJ1177/Datasheet!AI103</f>
        <v>0</v>
      </c>
      <c r="AK1254" s="267">
        <f>AK1177/Datasheet!AJ103</f>
        <v>0</v>
      </c>
    </row>
    <row r="1255" spans="3:37" s="124" customFormat="1" x14ac:dyDescent="0.25">
      <c r="C1255" s="126"/>
      <c r="F1255" s="124" t="s">
        <v>1444</v>
      </c>
      <c r="H1255" s="124" t="s">
        <v>1524</v>
      </c>
      <c r="R1255" s="267">
        <f>R1178/Datasheet!I103</f>
        <v>0.21224389645442276</v>
      </c>
      <c r="S1255" s="267">
        <f>S1178/Datasheet!J103</f>
        <v>0.20808347325497722</v>
      </c>
      <c r="T1255" s="267">
        <f>T1178/Datasheet!K103</f>
        <v>0.18604919736690148</v>
      </c>
      <c r="U1255" s="267">
        <f>U1178/Datasheet!L103</f>
        <v>0.15813953488372093</v>
      </c>
      <c r="V1255" s="267">
        <f>V1178/Datasheet!M103</f>
        <v>0.15046296296296297</v>
      </c>
      <c r="W1255" s="267">
        <f>W1178/Datasheet!N103</f>
        <v>0.13444468499675255</v>
      </c>
      <c r="X1255" s="267">
        <f>X1178/Datasheet!O103</f>
        <v>0.12793789216207593</v>
      </c>
      <c r="Y1255" s="267">
        <f>Y1178/Datasheet!P103</f>
        <v>0.12698247078464106</v>
      </c>
      <c r="Z1255" s="267">
        <f>Z1178/Datasheet!Q103</f>
        <v>0.12866516301004716</v>
      </c>
      <c r="AA1255" s="267">
        <f>AA1178/Datasheet!R103</f>
        <v>0.13266137242924048</v>
      </c>
      <c r="AB1255" s="267">
        <f>AB1178/Datasheet!S103</f>
        <v>0.12488623723328951</v>
      </c>
      <c r="AC1255" s="267">
        <f>AC1178/Datasheet!T103</f>
        <v>0.11736334405144695</v>
      </c>
      <c r="AD1255" s="267">
        <f>AD1178/Datasheet!U103</f>
        <v>0.10986279578445018</v>
      </c>
      <c r="AE1255" s="267">
        <f>AE1178/Datasheet!V103</f>
        <v>9.8281786941580754E-2</v>
      </c>
      <c r="AF1255" s="267">
        <f>AF1178/Datasheet!W103</f>
        <v>8.4706338437681716E-2</v>
      </c>
      <c r="AG1255" s="267">
        <f>AG1178/Datasheet!X103</f>
        <v>7.0949827652240519E-2</v>
      </c>
      <c r="AH1255" s="267">
        <f>AH1178/Datasheet!Y103</f>
        <v>5.7893250494210673E-2</v>
      </c>
      <c r="AI1255" s="267">
        <f>AI1178/Datasheet!Z103</f>
        <v>4.0217692094825203E-2</v>
      </c>
      <c r="AJ1255" s="267">
        <f>AJ1178/Datasheet!AA103</f>
        <v>1.970532405315014E-2</v>
      </c>
      <c r="AK1255" s="267">
        <f>AK1178/Datasheet!AB103</f>
        <v>0</v>
      </c>
    </row>
    <row r="1256" spans="3:37" s="124" customFormat="1" x14ac:dyDescent="0.25">
      <c r="C1256" s="126"/>
      <c r="F1256" s="124" t="s">
        <v>1445</v>
      </c>
      <c r="H1256" s="124" t="s">
        <v>1525</v>
      </c>
      <c r="T1256" s="267">
        <f>T1179/Datasheet!$S103</f>
        <v>6.370714935787238E-3</v>
      </c>
      <c r="U1256" s="267">
        <f>U1179/Datasheet!$S103</f>
        <v>1.6887450702801093E-2</v>
      </c>
      <c r="V1256" s="267">
        <f>V1179/Datasheet!$S103</f>
        <v>2.973000303367378E-2</v>
      </c>
      <c r="W1256" s="267">
        <f>W1179/Datasheet!$S103</f>
        <v>4.317929012033573E-2</v>
      </c>
      <c r="X1256" s="267">
        <f>X1179/Datasheet!$S103</f>
        <v>5.59207199919102E-2</v>
      </c>
      <c r="Y1256" s="267">
        <f>Y1179/Datasheet!$S103</f>
        <v>7.4021640206289818E-2</v>
      </c>
      <c r="Z1256" s="267">
        <f>Z1179/Datasheet!$S103</f>
        <v>9.6066336333299626E-2</v>
      </c>
      <c r="AA1256" s="267">
        <f>AA1179/Datasheet!$S103</f>
        <v>0.11811103246030943</v>
      </c>
      <c r="AB1256" s="267">
        <f>AB1179/Datasheet!$S103</f>
        <v>0.11811103246030943</v>
      </c>
      <c r="AC1256" s="267">
        <f>AC1179/Datasheet!$S103</f>
        <v>0.11811103246030943</v>
      </c>
      <c r="AD1256" s="267">
        <f>AD1179/Datasheet!$S103</f>
        <v>0.11811103246030943</v>
      </c>
      <c r="AE1256" s="267">
        <f>AE1179/Datasheet!$S103</f>
        <v>0.11811103246030943</v>
      </c>
      <c r="AF1256" s="267">
        <f>AF1179/Datasheet!$S103</f>
        <v>0.11811103246030943</v>
      </c>
      <c r="AG1256" s="267">
        <f>AG1179/Datasheet!$S103</f>
        <v>0.11811103246030943</v>
      </c>
      <c r="AH1256" s="267">
        <f>AH1179/Datasheet!$S103</f>
        <v>0.11811103246030943</v>
      </c>
      <c r="AI1256" s="267">
        <f>AI1179/Datasheet!$S103</f>
        <v>0.11811103246030943</v>
      </c>
      <c r="AJ1256" s="267">
        <f>AJ1179/Datasheet!$S103</f>
        <v>0.11811103246030943</v>
      </c>
      <c r="AK1256" s="267">
        <f>AK1179/Datasheet!$S103</f>
        <v>0.11811103246030943</v>
      </c>
    </row>
    <row r="1257" spans="3:37" s="124" customFormat="1" x14ac:dyDescent="0.25">
      <c r="C1257" s="126"/>
      <c r="F1257" s="124" t="s">
        <v>1446</v>
      </c>
      <c r="H1257" s="124" t="s">
        <v>1526</v>
      </c>
      <c r="AB1257" s="267">
        <f>AB1180/Datasheet!$AA103</f>
        <v>0</v>
      </c>
      <c r="AC1257" s="267">
        <f>AC1180/Datasheet!$AA103</f>
        <v>0</v>
      </c>
      <c r="AD1257" s="267">
        <f>AD1180/Datasheet!$AA103</f>
        <v>0</v>
      </c>
      <c r="AE1257" s="267">
        <f>AE1180/Datasheet!$AA103</f>
        <v>0</v>
      </c>
      <c r="AF1257" s="267">
        <f>AF1180/Datasheet!$AA103</f>
        <v>0</v>
      </c>
      <c r="AG1257" s="267">
        <f>AG1180/Datasheet!$AA103</f>
        <v>0</v>
      </c>
      <c r="AH1257" s="267">
        <f>AH1180/Datasheet!$AA103</f>
        <v>0</v>
      </c>
      <c r="AI1257" s="267">
        <f>AI1180/Datasheet!$AA103</f>
        <v>0</v>
      </c>
      <c r="AJ1257" s="267">
        <f>AJ1180/Datasheet!$AA103</f>
        <v>0</v>
      </c>
      <c r="AK1257" s="267">
        <f>AK1180/Datasheet!$AA103</f>
        <v>0</v>
      </c>
    </row>
    <row r="1258" spans="3:37" s="124" customFormat="1" x14ac:dyDescent="0.25">
      <c r="C1258" s="126"/>
      <c r="D1258" s="126"/>
      <c r="E1258" s="9" t="s">
        <v>1447</v>
      </c>
      <c r="F1258" s="9"/>
    </row>
    <row r="1259" spans="3:37" s="124" customFormat="1" x14ac:dyDescent="0.25">
      <c r="C1259" s="126"/>
      <c r="D1259" s="126"/>
      <c r="E1259" s="9"/>
      <c r="F1259" s="9" t="s">
        <v>1442</v>
      </c>
      <c r="H1259" s="9" t="s">
        <v>1519</v>
      </c>
      <c r="J1259" s="138">
        <f>J1182/Datasheet!I105</f>
        <v>2.2186687987207677E-2</v>
      </c>
      <c r="K1259" s="138">
        <f>K1182/Datasheet!J105</f>
        <v>1.6229956980836919E-2</v>
      </c>
      <c r="L1259" s="138">
        <f>L1182/Datasheet!K105</f>
        <v>1.7510101981912642E-2</v>
      </c>
      <c r="M1259" s="138">
        <f>M1182/Datasheet!L105</f>
        <v>2.4583963691376703E-2</v>
      </c>
      <c r="N1259" s="138">
        <f>N1182/Datasheet!M105</f>
        <v>1.8826135105204873E-2</v>
      </c>
      <c r="O1259" s="138">
        <f>O1182/Datasheet!N105</f>
        <v>2.3731884057971015E-2</v>
      </c>
      <c r="P1259" s="138">
        <f>P1182/Datasheet!O105</f>
        <v>1.5926384710670677E-2</v>
      </c>
      <c r="Q1259" s="138">
        <f>Q1182/Datasheet!P105</f>
        <v>1.6721825465946701E-2</v>
      </c>
      <c r="R1259" s="138">
        <f>R1182/Datasheet!Q105</f>
        <v>7.7094397807092683E-3</v>
      </c>
      <c r="S1259" s="138">
        <f>S1182/Datasheet!R105</f>
        <v>8.330499829989799E-3</v>
      </c>
      <c r="T1259" s="138">
        <f>T1182/Datasheet!S105</f>
        <v>8.0930703085483058E-3</v>
      </c>
      <c r="U1259" s="138">
        <f>U1182/Datasheet!T105</f>
        <v>9.0316106372303057E-3</v>
      </c>
      <c r="V1259" s="138">
        <f>V1182/Datasheet!U105</f>
        <v>1.5580971324382563E-2</v>
      </c>
      <c r="W1259" s="138">
        <f>W1182/Datasheet!V105</f>
        <v>1.3709809041945487E-2</v>
      </c>
      <c r="X1259" s="138">
        <f>X1182/Datasheet!W105</f>
        <v>1.5617452906134277E-2</v>
      </c>
      <c r="Y1259" s="138">
        <f>Y1182/Datasheet!X105</f>
        <v>1.63284717818643E-2</v>
      </c>
      <c r="Z1259" s="138">
        <f>Z1182/Datasheet!Y105</f>
        <v>1.6066136328185932E-2</v>
      </c>
      <c r="AA1259" s="138">
        <f>AA1182/Datasheet!Z105</f>
        <v>1.289530242554498E-2</v>
      </c>
      <c r="AB1259" s="138">
        <f>AB1182/Datasheet!AA105</f>
        <v>0</v>
      </c>
      <c r="AC1259" s="138">
        <f>AC1182/Datasheet!AB105</f>
        <v>0</v>
      </c>
      <c r="AD1259" s="138">
        <f>AD1182/Datasheet!AC105</f>
        <v>0</v>
      </c>
      <c r="AE1259" s="138">
        <f>AE1182/Datasheet!AD105</f>
        <v>0</v>
      </c>
      <c r="AF1259" s="138">
        <f>AF1182/Datasheet!AE105</f>
        <v>0</v>
      </c>
      <c r="AG1259" s="138">
        <f>AG1182/Datasheet!AF105</f>
        <v>0</v>
      </c>
      <c r="AH1259" s="138">
        <f>AH1182/Datasheet!AG105</f>
        <v>0</v>
      </c>
      <c r="AI1259" s="138">
        <f>AI1182/Datasheet!AH105</f>
        <v>0</v>
      </c>
      <c r="AJ1259" s="138">
        <f>AJ1182/Datasheet!AI105</f>
        <v>0</v>
      </c>
      <c r="AK1259" s="138">
        <f>AK1182/Datasheet!AJ105</f>
        <v>0</v>
      </c>
    </row>
    <row r="1260" spans="3:37" s="124" customFormat="1" x14ac:dyDescent="0.25">
      <c r="C1260" s="126"/>
      <c r="E1260" s="9"/>
      <c r="F1260" s="9" t="s">
        <v>1444</v>
      </c>
      <c r="H1260" s="9" t="s">
        <v>1520</v>
      </c>
      <c r="R1260" s="138">
        <f>R1183/Datasheet!I105</f>
        <v>0.18428942634419349</v>
      </c>
      <c r="S1260" s="138">
        <f>S1183/Datasheet!J105</f>
        <v>0.18146265154477903</v>
      </c>
      <c r="T1260" s="138">
        <f>T1183/Datasheet!K105</f>
        <v>0.16644217817971907</v>
      </c>
      <c r="U1260" s="138">
        <f>U1183/Datasheet!L105</f>
        <v>0.15809379727685324</v>
      </c>
      <c r="V1260" s="138">
        <f>V1183/Datasheet!M105</f>
        <v>0.15485418973791068</v>
      </c>
      <c r="W1260" s="138">
        <f>W1183/Datasheet!N105</f>
        <v>0.14365942028985507</v>
      </c>
      <c r="X1260" s="138">
        <f>X1183/Datasheet!O105</f>
        <v>0.13944434613342771</v>
      </c>
      <c r="Y1260" s="138">
        <f>Y1183/Datasheet!P105</f>
        <v>0.13238111827207805</v>
      </c>
      <c r="Z1260" s="138">
        <f>Z1183/Datasheet!Q105</f>
        <v>0.13243104334418365</v>
      </c>
      <c r="AA1260" s="138">
        <f>AA1183/Datasheet!R105</f>
        <v>0.12937776266575995</v>
      </c>
      <c r="AB1260" s="138">
        <f>AB1183/Datasheet!S105</f>
        <v>0.12072163210251223</v>
      </c>
      <c r="AC1260" s="138">
        <f>AC1183/Datasheet!T105</f>
        <v>0.11155711657467804</v>
      </c>
      <c r="AD1260" s="138">
        <f>AD1183/Datasheet!U105</f>
        <v>0.10260235372120007</v>
      </c>
      <c r="AE1260" s="138">
        <f>AE1183/Datasheet!V105</f>
        <v>9.2214787008323806E-2</v>
      </c>
      <c r="AF1260" s="138">
        <f>AF1183/Datasheet!W105</f>
        <v>7.5833199162775727E-2</v>
      </c>
      <c r="AG1260" s="138">
        <f>AG1183/Datasheet!X105</f>
        <v>6.1350665821179456E-2</v>
      </c>
      <c r="AH1260" s="138">
        <f>AH1183/Datasheet!Y105</f>
        <v>4.5234752768678832E-2</v>
      </c>
      <c r="AI1260" s="138">
        <f>AI1183/Datasheet!Z105</f>
        <v>2.8707399447344181E-2</v>
      </c>
      <c r="AJ1260" s="138">
        <f>AJ1183/Datasheet!AA105</f>
        <v>1.2731130645650197E-2</v>
      </c>
      <c r="AK1260" s="138">
        <f>AK1183/Datasheet!AB105</f>
        <v>0</v>
      </c>
    </row>
    <row r="1261" spans="3:37" s="124" customFormat="1" x14ac:dyDescent="0.25">
      <c r="C1261" s="126"/>
      <c r="E1261" s="9"/>
      <c r="F1261" s="9" t="s">
        <v>1445</v>
      </c>
      <c r="H1261" s="9" t="s">
        <v>1521</v>
      </c>
      <c r="T1261" s="138">
        <f>T1184/Datasheet!$S105</f>
        <v>8.0930703085483058E-3</v>
      </c>
      <c r="U1261" s="138">
        <f>U1184/Datasheet!$S105</f>
        <v>1.719777440566515E-2</v>
      </c>
      <c r="V1261" s="138">
        <f>V1184/Datasheet!$S105</f>
        <v>3.304670375990558E-2</v>
      </c>
      <c r="W1261" s="138">
        <f>W1184/Datasheet!$S105</f>
        <v>4.7209576799865115E-2</v>
      </c>
      <c r="X1261" s="138">
        <f>X1184/Datasheet!$S105</f>
        <v>6.3564323048389812E-2</v>
      </c>
      <c r="Y1261" s="138">
        <f>Y1184/Datasheet!$S105</f>
        <v>8.0930703085483058E-2</v>
      </c>
      <c r="Z1261" s="138">
        <f>Z1184/Datasheet!$S105</f>
        <v>9.829708312257629E-2</v>
      </c>
      <c r="AA1261" s="138">
        <f>AA1184/Datasheet!$S105</f>
        <v>0.11245995616253583</v>
      </c>
      <c r="AB1261" s="138">
        <f>AB1184/Datasheet!$S105</f>
        <v>0.11245995616253583</v>
      </c>
      <c r="AC1261" s="138">
        <f>AC1184/Datasheet!$S105</f>
        <v>0.11245995616253583</v>
      </c>
      <c r="AD1261" s="138">
        <f>AD1184/Datasheet!$S105</f>
        <v>0.11245995616253583</v>
      </c>
      <c r="AE1261" s="138">
        <f>AE1184/Datasheet!$S105</f>
        <v>0.11245995616253583</v>
      </c>
      <c r="AF1261" s="138">
        <f>AF1184/Datasheet!$S105</f>
        <v>0.11245995616253583</v>
      </c>
      <c r="AG1261" s="138">
        <f>AG1184/Datasheet!$S105</f>
        <v>0.11245995616253583</v>
      </c>
      <c r="AH1261" s="138">
        <f>AH1184/Datasheet!$S105</f>
        <v>0.11245995616253583</v>
      </c>
      <c r="AI1261" s="138">
        <f>AI1184/Datasheet!$S105</f>
        <v>0.11245995616253583</v>
      </c>
      <c r="AJ1261" s="138">
        <f>AJ1184/Datasheet!$S105</f>
        <v>0.11245995616253583</v>
      </c>
      <c r="AK1261" s="138">
        <f>AK1184/Datasheet!$S105</f>
        <v>0.11245995616253583</v>
      </c>
    </row>
    <row r="1262" spans="3:37" s="124" customFormat="1" x14ac:dyDescent="0.25">
      <c r="C1262" s="126"/>
      <c r="E1262" s="9"/>
      <c r="F1262" s="9" t="s">
        <v>1446</v>
      </c>
      <c r="H1262" s="9" t="s">
        <v>1522</v>
      </c>
      <c r="AB1262" s="138">
        <f>AB1185/Datasheet!$AA105</f>
        <v>0</v>
      </c>
      <c r="AC1262" s="138">
        <f>AC1185/Datasheet!$AA105</f>
        <v>0</v>
      </c>
      <c r="AD1262" s="138">
        <f>AD1185/Datasheet!$AA105</f>
        <v>0</v>
      </c>
      <c r="AE1262" s="138">
        <f>AE1185/Datasheet!$AA105</f>
        <v>0</v>
      </c>
      <c r="AF1262" s="138">
        <f>AF1185/Datasheet!$AA105</f>
        <v>0</v>
      </c>
      <c r="AG1262" s="138">
        <f>AG1185/Datasheet!$AA105</f>
        <v>0</v>
      </c>
      <c r="AH1262" s="138">
        <f>AH1185/Datasheet!$AA105</f>
        <v>0</v>
      </c>
      <c r="AI1262" s="138">
        <f>AI1185/Datasheet!$AA105</f>
        <v>0</v>
      </c>
      <c r="AJ1262" s="138">
        <f>AJ1185/Datasheet!$AA105</f>
        <v>0</v>
      </c>
      <c r="AK1262" s="138">
        <f>AK1185/Datasheet!$AA105</f>
        <v>0</v>
      </c>
    </row>
    <row r="1263" spans="3:37" s="124" customFormat="1" x14ac:dyDescent="0.25">
      <c r="C1263" s="126"/>
      <c r="E1263" s="9" t="s">
        <v>1623</v>
      </c>
      <c r="F1263" s="9"/>
    </row>
    <row r="1264" spans="3:37" s="124" customFormat="1" x14ac:dyDescent="0.25">
      <c r="C1264" s="126"/>
      <c r="E1264" s="9"/>
      <c r="F1264" s="9" t="s">
        <v>1442</v>
      </c>
      <c r="H1264" s="9" t="s">
        <v>1519</v>
      </c>
      <c r="J1264" s="138">
        <f>J1187/Datasheet!I106</f>
        <v>9.4086021505376347E-3</v>
      </c>
      <c r="K1264" s="138">
        <f>K1187/Datasheet!J106</f>
        <v>6.0585885486018641E-2</v>
      </c>
      <c r="L1264" s="138">
        <f>L1187/Datasheet!K106</f>
        <v>1.8832391713747645E-3</v>
      </c>
      <c r="M1264" s="138">
        <f>M1187/Datasheet!L106</f>
        <v>3.8847117794486213E-2</v>
      </c>
      <c r="N1264" s="138">
        <f>N1187/Datasheet!M106</f>
        <v>6.6344993968636915E-3</v>
      </c>
      <c r="O1264" s="138">
        <f>O1187/Datasheet!N106</f>
        <v>1.078490113840623E-2</v>
      </c>
      <c r="P1264" s="138">
        <f>P1187/Datasheet!O106</f>
        <v>3.4380557202133968E-2</v>
      </c>
      <c r="Q1264" s="138">
        <f>Q1187/Datasheet!P106</f>
        <v>3.3237822349570199E-2</v>
      </c>
      <c r="R1264" s="138">
        <f>R1187/Datasheet!Q106</f>
        <v>1.1647254575707155E-2</v>
      </c>
      <c r="S1264" s="138">
        <f>S1187/Datasheet!R106</f>
        <v>7.6754385964912276E-3</v>
      </c>
      <c r="T1264" s="138">
        <f>T1187/Datasheet!S106</f>
        <v>6.5288356909684441E-3</v>
      </c>
      <c r="U1264" s="138">
        <f>U1187/Datasheet!T106</f>
        <v>7.5675675675675675E-3</v>
      </c>
      <c r="V1264" s="138">
        <f>V1187/Datasheet!U106</f>
        <v>4.8283261802575111E-3</v>
      </c>
      <c r="W1264" s="138">
        <f>W1187/Datasheet!V106</f>
        <v>1.8152696209289908E-2</v>
      </c>
      <c r="X1264" s="138">
        <f>X1187/Datasheet!W106</f>
        <v>5.243838489774515E-4</v>
      </c>
      <c r="Y1264" s="138">
        <f>Y1187/Datasheet!X106</f>
        <v>1.6247379454926623E-2</v>
      </c>
      <c r="Z1264" s="138">
        <f>Z1187/Datasheet!Y106</f>
        <v>1.9082001031459517E-2</v>
      </c>
      <c r="AA1264" s="138">
        <f>AA1187/Datasheet!Z106</f>
        <v>3.3906882591093118E-2</v>
      </c>
      <c r="AB1264" s="138">
        <f>AB1187/Datasheet!AA106</f>
        <v>0</v>
      </c>
      <c r="AC1264" s="138">
        <f>AC1187/Datasheet!AB106</f>
        <v>0</v>
      </c>
      <c r="AD1264" s="138">
        <f>AD1187/Datasheet!AC106</f>
        <v>0</v>
      </c>
      <c r="AE1264" s="138">
        <f>AE1187/Datasheet!AD106</f>
        <v>0</v>
      </c>
      <c r="AF1264" s="138">
        <f>AF1187/Datasheet!AE106</f>
        <v>0</v>
      </c>
      <c r="AG1264" s="138">
        <f>AG1187/Datasheet!AF106</f>
        <v>0</v>
      </c>
      <c r="AH1264" s="138">
        <f>AH1187/Datasheet!AG106</f>
        <v>0</v>
      </c>
      <c r="AI1264" s="138">
        <f>AI1187/Datasheet!AH106</f>
        <v>0</v>
      </c>
      <c r="AJ1264" s="138">
        <f>AJ1187/Datasheet!AI106</f>
        <v>0</v>
      </c>
      <c r="AK1264" s="138">
        <f>AK1187/Datasheet!AJ106</f>
        <v>0</v>
      </c>
    </row>
    <row r="1265" spans="3:37" s="124" customFormat="1" x14ac:dyDescent="0.25">
      <c r="C1265" s="126"/>
      <c r="E1265" s="9"/>
      <c r="F1265" s="9" t="s">
        <v>1444</v>
      </c>
      <c r="H1265" s="9" t="s">
        <v>1520</v>
      </c>
      <c r="R1265" s="138">
        <f>R1188/Datasheet!I106</f>
        <v>0.23454301075268819</v>
      </c>
      <c r="S1265" s="138">
        <f>S1188/Datasheet!J106</f>
        <v>0.23302263648468707</v>
      </c>
      <c r="T1265" s="138">
        <f>T1188/Datasheet!K106</f>
        <v>0.2184557438794727</v>
      </c>
      <c r="U1265" s="138">
        <f>U1188/Datasheet!L106</f>
        <v>0.16979949874686717</v>
      </c>
      <c r="V1265" s="138">
        <f>V1188/Datasheet!M106</f>
        <v>0.16706875753920386</v>
      </c>
      <c r="W1265" s="138">
        <f>W1188/Datasheet!N106</f>
        <v>0.14919113241461954</v>
      </c>
      <c r="X1265" s="138">
        <f>X1188/Datasheet!O106</f>
        <v>0.14167160640189685</v>
      </c>
      <c r="Y1265" s="138">
        <f>Y1188/Datasheet!P106</f>
        <v>0.14441260744985673</v>
      </c>
      <c r="Z1265" s="138">
        <f>Z1188/Datasheet!Q106</f>
        <v>0.1281198003327787</v>
      </c>
      <c r="AA1265" s="138">
        <f>AA1188/Datasheet!R106</f>
        <v>0.13157894736842105</v>
      </c>
      <c r="AB1265" s="138">
        <f>AB1188/Datasheet!S106</f>
        <v>0.1191512513601741</v>
      </c>
      <c r="AC1265" s="138">
        <f>AC1188/Datasheet!T106</f>
        <v>0.11081081081081082</v>
      </c>
      <c r="AD1265" s="138">
        <f>AD1188/Datasheet!U106</f>
        <v>0.10354077253218884</v>
      </c>
      <c r="AE1265" s="138">
        <f>AE1188/Datasheet!V106</f>
        <v>9.5568606513614526E-2</v>
      </c>
      <c r="AF1265" s="138">
        <f>AF1188/Datasheet!W106</f>
        <v>8.9145254326166753E-2</v>
      </c>
      <c r="AG1265" s="138">
        <f>AG1188/Datasheet!X106</f>
        <v>7.1278825995807121E-2</v>
      </c>
      <c r="AH1265" s="138">
        <f>AH1188/Datasheet!Y106</f>
        <v>6.9623517276946878E-2</v>
      </c>
      <c r="AI1265" s="138">
        <f>AI1188/Datasheet!Z106</f>
        <v>5.2631578947368418E-2</v>
      </c>
      <c r="AJ1265" s="138">
        <f>AJ1188/Datasheet!AA106</f>
        <v>3.2794909446891826E-2</v>
      </c>
      <c r="AK1265" s="138">
        <f>AK1188/Datasheet!AB106</f>
        <v>0</v>
      </c>
    </row>
    <row r="1266" spans="3:37" s="124" customFormat="1" x14ac:dyDescent="0.25">
      <c r="C1266" s="126"/>
      <c r="E1266" s="9"/>
      <c r="F1266" s="9" t="s">
        <v>1445</v>
      </c>
      <c r="H1266" s="9" t="s">
        <v>1521</v>
      </c>
      <c r="T1266" s="138">
        <f>T1189/Datasheet!$S106</f>
        <v>6.5288356909684441E-3</v>
      </c>
      <c r="U1266" s="138">
        <f>U1189/Datasheet!$S106</f>
        <v>1.4145810663764961E-2</v>
      </c>
      <c r="V1266" s="138">
        <f>V1189/Datasheet!$S106</f>
        <v>1.9042437431991296E-2</v>
      </c>
      <c r="W1266" s="138">
        <f>W1189/Datasheet!$S106</f>
        <v>3.7540805223068553E-2</v>
      </c>
      <c r="X1266" s="138">
        <f>X1189/Datasheet!$S106</f>
        <v>3.8084874863982592E-2</v>
      </c>
      <c r="Y1266" s="138">
        <f>Y1189/Datasheet!$S106</f>
        <v>5.4951033732317738E-2</v>
      </c>
      <c r="Z1266" s="138">
        <f>Z1189/Datasheet!$S106</f>
        <v>7.5081610446137106E-2</v>
      </c>
      <c r="AA1266" s="138">
        <f>AA1189/Datasheet!$S106</f>
        <v>0.11153427638737759</v>
      </c>
      <c r="AB1266" s="138">
        <f>AB1189/Datasheet!$S106</f>
        <v>0.11153427638737759</v>
      </c>
      <c r="AC1266" s="138">
        <f>AC1189/Datasheet!$S106</f>
        <v>0.11153427638737759</v>
      </c>
      <c r="AD1266" s="138">
        <f>AD1189/Datasheet!$S106</f>
        <v>0.11153427638737759</v>
      </c>
      <c r="AE1266" s="138">
        <f>AE1189/Datasheet!$S106</f>
        <v>0.11153427638737759</v>
      </c>
      <c r="AF1266" s="138">
        <f>AF1189/Datasheet!$S106</f>
        <v>0.11153427638737759</v>
      </c>
      <c r="AG1266" s="138">
        <f>AG1189/Datasheet!$S106</f>
        <v>0.11153427638737759</v>
      </c>
      <c r="AH1266" s="138">
        <f>AH1189/Datasheet!$S106</f>
        <v>0.11153427638737759</v>
      </c>
      <c r="AI1266" s="138">
        <f>AI1189/Datasheet!$S106</f>
        <v>0.11153427638737759</v>
      </c>
      <c r="AJ1266" s="138">
        <f>AJ1189/Datasheet!$S106</f>
        <v>0.11153427638737759</v>
      </c>
      <c r="AK1266" s="138">
        <f>AK1189/Datasheet!$S106</f>
        <v>0.11153427638737759</v>
      </c>
    </row>
    <row r="1267" spans="3:37" s="124" customFormat="1" x14ac:dyDescent="0.25">
      <c r="C1267" s="126"/>
      <c r="E1267" s="9"/>
      <c r="F1267" s="9" t="s">
        <v>1446</v>
      </c>
      <c r="H1267" s="9" t="s">
        <v>1522</v>
      </c>
      <c r="AB1267" s="138">
        <f>AB1190/Datasheet!$AA106</f>
        <v>0</v>
      </c>
      <c r="AC1267" s="138">
        <f>AC1190/Datasheet!$AA106</f>
        <v>0</v>
      </c>
      <c r="AD1267" s="138">
        <f>AD1190/Datasheet!$AA106</f>
        <v>0</v>
      </c>
      <c r="AE1267" s="138">
        <f>AE1190/Datasheet!$AA106</f>
        <v>0</v>
      </c>
      <c r="AF1267" s="138">
        <f>AF1190/Datasheet!$AA106</f>
        <v>0</v>
      </c>
      <c r="AG1267" s="138">
        <f>AG1190/Datasheet!$AA106</f>
        <v>0</v>
      </c>
      <c r="AH1267" s="138">
        <f>AH1190/Datasheet!$AA106</f>
        <v>0</v>
      </c>
      <c r="AI1267" s="138">
        <f>AI1190/Datasheet!$AA106</f>
        <v>0</v>
      </c>
      <c r="AJ1267" s="138">
        <f>AJ1190/Datasheet!$AA106</f>
        <v>0</v>
      </c>
      <c r="AK1267" s="138">
        <f>AK1190/Datasheet!$AA106</f>
        <v>0</v>
      </c>
    </row>
    <row r="1268" spans="3:37" s="124" customFormat="1" x14ac:dyDescent="0.25">
      <c r="C1268" s="126"/>
      <c r="E1268" s="9" t="s">
        <v>238</v>
      </c>
      <c r="F1268" s="9"/>
    </row>
    <row r="1269" spans="3:37" s="124" customFormat="1" x14ac:dyDescent="0.25">
      <c r="C1269" s="126"/>
      <c r="E1269" s="9"/>
      <c r="F1269" s="9" t="s">
        <v>1442</v>
      </c>
      <c r="H1269" s="9" t="s">
        <v>1519</v>
      </c>
      <c r="J1269" s="138">
        <f>J1192/Datasheet!I107</f>
        <v>5.6159420289855072E-2</v>
      </c>
      <c r="K1269" s="138">
        <f>K1192/Datasheet!J107</f>
        <v>0.12607204116638079</v>
      </c>
      <c r="L1269" s="138">
        <f>L1192/Datasheet!K107</f>
        <v>4.7220106626047219E-2</v>
      </c>
      <c r="M1269" s="138">
        <f>M1192/Datasheet!L107</f>
        <v>4.6545454545454543E-2</v>
      </c>
      <c r="N1269" s="138">
        <f>N1192/Datasheet!M107</f>
        <v>3.6136205698401667E-2</v>
      </c>
      <c r="O1269" s="138">
        <f>O1192/Datasheet!N107</f>
        <v>1.0731052984574111E-2</v>
      </c>
      <c r="P1269" s="138">
        <f>P1192/Datasheet!O107</f>
        <v>2.1234240212342402E-2</v>
      </c>
      <c r="Q1269" s="138">
        <f>Q1192/Datasheet!P107</f>
        <v>1.0396361273554255E-2</v>
      </c>
      <c r="R1269" s="138">
        <f>R1192/Datasheet!Q107</f>
        <v>1.2861736334405145E-3</v>
      </c>
      <c r="S1269" s="138">
        <f>S1192/Datasheet!R107</f>
        <v>2.569043031470777E-3</v>
      </c>
      <c r="T1269" s="138">
        <f>T1192/Datasheet!S107</f>
        <v>1.9218449711723255E-3</v>
      </c>
      <c r="U1269" s="138">
        <f>U1192/Datasheet!T107</f>
        <v>2.3017902813299233E-2</v>
      </c>
      <c r="V1269" s="138">
        <f>V1192/Datasheet!U107</f>
        <v>1.4999999999999999E-2</v>
      </c>
      <c r="W1269" s="138">
        <f>W1192/Datasheet!V107</f>
        <v>9.2364532019704442E-3</v>
      </c>
      <c r="X1269" s="138">
        <f>X1192/Datasheet!W107</f>
        <v>1.7083587553386213E-2</v>
      </c>
      <c r="Y1269" s="138">
        <f>Y1192/Datasheet!X107</f>
        <v>2.6994601079784044E-2</v>
      </c>
      <c r="Z1269" s="138">
        <f>Z1192/Datasheet!Y107</f>
        <v>4.55607476635514E-2</v>
      </c>
      <c r="AA1269" s="138">
        <f>AA1192/Datasheet!Z107</f>
        <v>3.7430167597765365E-2</v>
      </c>
      <c r="AB1269" s="138">
        <f>AB1192/Datasheet!AA107</f>
        <v>0</v>
      </c>
      <c r="AC1269" s="138">
        <f>AC1192/Datasheet!AB107</f>
        <v>0</v>
      </c>
      <c r="AD1269" s="138">
        <f>AD1192/Datasheet!AC107</f>
        <v>0</v>
      </c>
      <c r="AE1269" s="138">
        <f>AE1192/Datasheet!AD107</f>
        <v>0</v>
      </c>
      <c r="AF1269" s="138">
        <f>AF1192/Datasheet!AE107</f>
        <v>0</v>
      </c>
      <c r="AG1269" s="138">
        <f>AG1192/Datasheet!AF107</f>
        <v>0</v>
      </c>
      <c r="AH1269" s="138">
        <f>AH1192/Datasheet!AG107</f>
        <v>0</v>
      </c>
      <c r="AI1269" s="138">
        <f>AI1192/Datasheet!AH107</f>
        <v>0</v>
      </c>
      <c r="AJ1269" s="138">
        <f>AJ1192/Datasheet!AI107</f>
        <v>0</v>
      </c>
      <c r="AK1269" s="138">
        <f>AK1192/Datasheet!AJ107</f>
        <v>0</v>
      </c>
    </row>
    <row r="1270" spans="3:37" s="124" customFormat="1" x14ac:dyDescent="0.25">
      <c r="C1270" s="126"/>
      <c r="E1270" s="9"/>
      <c r="F1270" s="9" t="s">
        <v>1444</v>
      </c>
      <c r="H1270" s="9" t="s">
        <v>1520</v>
      </c>
      <c r="R1270" s="138">
        <f>R1193/Datasheet!I107</f>
        <v>0.41576086956521741</v>
      </c>
      <c r="S1270" s="138">
        <f>S1193/Datasheet!J107</f>
        <v>0.39193825042881647</v>
      </c>
      <c r="T1270" s="138">
        <f>T1193/Datasheet!K107</f>
        <v>0.30312261995430312</v>
      </c>
      <c r="U1270" s="138">
        <f>U1193/Datasheet!L107</f>
        <v>0.20872727272727273</v>
      </c>
      <c r="V1270" s="138">
        <f>V1193/Datasheet!M107</f>
        <v>0.17303683113273105</v>
      </c>
      <c r="W1270" s="138">
        <f>W1193/Datasheet!N107</f>
        <v>0.1341381623071764</v>
      </c>
      <c r="X1270" s="138">
        <f>X1193/Datasheet!O107</f>
        <v>0.11678832116788321</v>
      </c>
      <c r="Y1270" s="138">
        <f>Y1193/Datasheet!P107</f>
        <v>0.1332033788174139</v>
      </c>
      <c r="Z1270" s="138">
        <f>Z1193/Datasheet!Q107</f>
        <v>0.16141479099678457</v>
      </c>
      <c r="AA1270" s="138">
        <f>AA1193/Datasheet!R107</f>
        <v>0.19396274887604367</v>
      </c>
      <c r="AB1270" s="138">
        <f>AB1193/Datasheet!S107</f>
        <v>0.19218449711723254</v>
      </c>
      <c r="AC1270" s="138">
        <f>AC1193/Datasheet!T107</f>
        <v>0.18925831202046037</v>
      </c>
      <c r="AD1270" s="138">
        <f>AD1193/Datasheet!U107</f>
        <v>0.18312500000000001</v>
      </c>
      <c r="AE1270" s="138">
        <f>AE1193/Datasheet!V107</f>
        <v>0.15825123152709358</v>
      </c>
      <c r="AF1270" s="138">
        <f>AF1193/Datasheet!W107</f>
        <v>0.14215985356924954</v>
      </c>
      <c r="AG1270" s="138">
        <f>AG1193/Datasheet!X107</f>
        <v>0.13077384523095381</v>
      </c>
      <c r="AH1270" s="138">
        <f>AH1193/Datasheet!Y107</f>
        <v>0.11098130841121495</v>
      </c>
      <c r="AI1270" s="138">
        <f>AI1193/Datasheet!Z107</f>
        <v>8.1005586592178769E-2</v>
      </c>
      <c r="AJ1270" s="138">
        <f>AJ1193/Datasheet!AA107</f>
        <v>3.6079698438341412E-2</v>
      </c>
      <c r="AK1270" s="138">
        <f>AK1193/Datasheet!AB107</f>
        <v>0</v>
      </c>
    </row>
    <row r="1271" spans="3:37" s="124" customFormat="1" x14ac:dyDescent="0.25">
      <c r="C1271" s="126"/>
      <c r="E1271" s="9"/>
      <c r="F1271" s="9" t="s">
        <v>1445</v>
      </c>
      <c r="H1271" s="9" t="s">
        <v>1521</v>
      </c>
      <c r="T1271" s="138">
        <f>T1194/Datasheet!$S107</f>
        <v>1.9218449711723255E-3</v>
      </c>
      <c r="U1271" s="138">
        <f>U1194/Datasheet!$S107</f>
        <v>2.4983984625240232E-2</v>
      </c>
      <c r="V1271" s="138">
        <f>V1194/Datasheet!$S107</f>
        <v>4.0358744394618833E-2</v>
      </c>
      <c r="W1271" s="138">
        <f>W1194/Datasheet!$S107</f>
        <v>4.9967969250480464E-2</v>
      </c>
      <c r="X1271" s="138">
        <f>X1194/Datasheet!$S107</f>
        <v>6.7905188981422171E-2</v>
      </c>
      <c r="Y1271" s="138">
        <f>Y1194/Datasheet!$S107</f>
        <v>9.673286354900705E-2</v>
      </c>
      <c r="Z1271" s="138">
        <f>Z1194/Datasheet!$S107</f>
        <v>0.14670083279948751</v>
      </c>
      <c r="AA1271" s="138">
        <f>AA1194/Datasheet!$S107</f>
        <v>0.18962203715566944</v>
      </c>
      <c r="AB1271" s="138">
        <f>AB1194/Datasheet!$S107</f>
        <v>0.18962203715566944</v>
      </c>
      <c r="AC1271" s="138">
        <f>AC1194/Datasheet!$S107</f>
        <v>0.18962203715566944</v>
      </c>
      <c r="AD1271" s="138">
        <f>AD1194/Datasheet!$S107</f>
        <v>0.18962203715566944</v>
      </c>
      <c r="AE1271" s="138">
        <f>AE1194/Datasheet!$S107</f>
        <v>0.18962203715566944</v>
      </c>
      <c r="AF1271" s="138">
        <f>AF1194/Datasheet!$S107</f>
        <v>0.18962203715566944</v>
      </c>
      <c r="AG1271" s="138">
        <f>AG1194/Datasheet!$S107</f>
        <v>0.18962203715566944</v>
      </c>
      <c r="AH1271" s="138">
        <f>AH1194/Datasheet!$S107</f>
        <v>0.18962203715566944</v>
      </c>
      <c r="AI1271" s="138">
        <f>AI1194/Datasheet!$S107</f>
        <v>0.18962203715566944</v>
      </c>
      <c r="AJ1271" s="138">
        <f>AJ1194/Datasheet!$S107</f>
        <v>0.18962203715566944</v>
      </c>
      <c r="AK1271" s="138">
        <f>AK1194/Datasheet!$S107</f>
        <v>0.18962203715566944</v>
      </c>
    </row>
    <row r="1272" spans="3:37" s="124" customFormat="1" x14ac:dyDescent="0.25">
      <c r="C1272" s="126"/>
      <c r="E1272" s="9"/>
      <c r="F1272" s="9" t="s">
        <v>1446</v>
      </c>
      <c r="H1272" s="9" t="s">
        <v>1522</v>
      </c>
      <c r="AB1272" s="138">
        <f>AB1195/Datasheet!$AA107</f>
        <v>0</v>
      </c>
      <c r="AC1272" s="138">
        <f>AC1195/Datasheet!$AA107</f>
        <v>0</v>
      </c>
      <c r="AD1272" s="138">
        <f>AD1195/Datasheet!$AA107</f>
        <v>0</v>
      </c>
      <c r="AE1272" s="138">
        <f>AE1195/Datasheet!$AA107</f>
        <v>0</v>
      </c>
      <c r="AF1272" s="138">
        <f>AF1195/Datasheet!$AA107</f>
        <v>0</v>
      </c>
      <c r="AG1272" s="138">
        <f>AG1195/Datasheet!$AA107</f>
        <v>0</v>
      </c>
      <c r="AH1272" s="138">
        <f>AH1195/Datasheet!$AA107</f>
        <v>0</v>
      </c>
      <c r="AI1272" s="138">
        <f>AI1195/Datasheet!$AA107</f>
        <v>0</v>
      </c>
      <c r="AJ1272" s="138">
        <f>AJ1195/Datasheet!$AA107</f>
        <v>0</v>
      </c>
      <c r="AK1272" s="138">
        <f>AK1195/Datasheet!$AA107</f>
        <v>0</v>
      </c>
    </row>
    <row r="1273" spans="3:37" s="124" customFormat="1" x14ac:dyDescent="0.25">
      <c r="C1273" s="126"/>
      <c r="E1273" s="9" t="s">
        <v>240</v>
      </c>
      <c r="F1273" s="9"/>
    </row>
    <row r="1274" spans="3:37" s="124" customFormat="1" x14ac:dyDescent="0.25">
      <c r="C1274" s="126"/>
      <c r="E1274" s="9"/>
      <c r="F1274" s="9" t="s">
        <v>1442</v>
      </c>
      <c r="H1274" s="9" t="s">
        <v>1519</v>
      </c>
      <c r="J1274" s="138">
        <f>J1197/Datasheet!I109</f>
        <v>0</v>
      </c>
      <c r="K1274" s="138">
        <f>K1197/Datasheet!J109</f>
        <v>0</v>
      </c>
      <c r="L1274" s="138">
        <f>L1197/Datasheet!K109</f>
        <v>0</v>
      </c>
      <c r="M1274" s="138">
        <f>M1197/Datasheet!L109</f>
        <v>0</v>
      </c>
      <c r="N1274" s="138">
        <f>N1197/Datasheet!M109</f>
        <v>0</v>
      </c>
      <c r="O1274" s="138">
        <f>O1197/Datasheet!N109</f>
        <v>0</v>
      </c>
      <c r="P1274" s="138">
        <f>P1197/Datasheet!O109</f>
        <v>0</v>
      </c>
      <c r="Q1274" s="138">
        <f>Q1197/Datasheet!P109</f>
        <v>0</v>
      </c>
      <c r="R1274" s="138">
        <f>R1197/Datasheet!Q109</f>
        <v>0</v>
      </c>
      <c r="S1274" s="138">
        <f>S1197/Datasheet!R109</f>
        <v>0</v>
      </c>
      <c r="T1274" s="138">
        <f>T1197/Datasheet!S109</f>
        <v>0</v>
      </c>
      <c r="U1274" s="138">
        <f>U1197/Datasheet!T109</f>
        <v>0</v>
      </c>
      <c r="V1274" s="138">
        <f>V1197/Datasheet!U109</f>
        <v>0</v>
      </c>
      <c r="W1274" s="138">
        <f>W1197/Datasheet!V109</f>
        <v>0</v>
      </c>
      <c r="X1274" s="138">
        <f>X1197/Datasheet!W109</f>
        <v>0</v>
      </c>
      <c r="Y1274" s="138">
        <f>Y1197/Datasheet!X109</f>
        <v>0</v>
      </c>
      <c r="Z1274" s="138">
        <f>Z1197/Datasheet!Y109</f>
        <v>0</v>
      </c>
      <c r="AA1274" s="138">
        <f>AA1197/Datasheet!Z109</f>
        <v>0</v>
      </c>
      <c r="AB1274" s="138">
        <f>AB1197/Datasheet!AA109</f>
        <v>0</v>
      </c>
      <c r="AC1274" s="138">
        <f>AC1197/Datasheet!AB109</f>
        <v>0</v>
      </c>
      <c r="AD1274" s="138">
        <f>AD1197/Datasheet!AC109</f>
        <v>0</v>
      </c>
      <c r="AE1274" s="138">
        <f>AE1197/Datasheet!AD109</f>
        <v>0</v>
      </c>
      <c r="AF1274" s="138">
        <f>AF1197/Datasheet!AE109</f>
        <v>0</v>
      </c>
      <c r="AG1274" s="138">
        <f>AG1197/Datasheet!AF109</f>
        <v>0</v>
      </c>
      <c r="AH1274" s="138">
        <f>AH1197/Datasheet!AG109</f>
        <v>0</v>
      </c>
      <c r="AI1274" s="138">
        <f>AI1197/Datasheet!AH109</f>
        <v>0</v>
      </c>
      <c r="AJ1274" s="138">
        <f>AJ1197/Datasheet!AI109</f>
        <v>0</v>
      </c>
      <c r="AK1274" s="138">
        <f>AK1197/Datasheet!AJ109</f>
        <v>0</v>
      </c>
    </row>
    <row r="1275" spans="3:37" s="124" customFormat="1" x14ac:dyDescent="0.25">
      <c r="C1275" s="126"/>
      <c r="E1275" s="9"/>
      <c r="F1275" s="9" t="s">
        <v>1444</v>
      </c>
      <c r="H1275" s="9" t="s">
        <v>1520</v>
      </c>
      <c r="R1275" s="138">
        <f>R1198/Datasheet!I109</f>
        <v>0</v>
      </c>
      <c r="S1275" s="138">
        <f>S1198/Datasheet!J109</f>
        <v>0</v>
      </c>
      <c r="T1275" s="138">
        <f>T1198/Datasheet!K109</f>
        <v>0</v>
      </c>
      <c r="U1275" s="138">
        <f>U1198/Datasheet!L109</f>
        <v>0</v>
      </c>
      <c r="V1275" s="138">
        <f>V1198/Datasheet!M109</f>
        <v>0</v>
      </c>
      <c r="W1275" s="138">
        <f>W1198/Datasheet!N109</f>
        <v>0</v>
      </c>
      <c r="X1275" s="138">
        <f>X1198/Datasheet!O109</f>
        <v>0</v>
      </c>
      <c r="Y1275" s="138">
        <f>Y1198/Datasheet!P109</f>
        <v>0</v>
      </c>
      <c r="Z1275" s="138">
        <f>Z1198/Datasheet!Q109</f>
        <v>0</v>
      </c>
      <c r="AA1275" s="138">
        <f>AA1198/Datasheet!R109</f>
        <v>0</v>
      </c>
      <c r="AB1275" s="138">
        <f>AB1198/Datasheet!S109</f>
        <v>0</v>
      </c>
      <c r="AC1275" s="138">
        <f>AC1198/Datasheet!T109</f>
        <v>0</v>
      </c>
      <c r="AD1275" s="138">
        <f>AD1198/Datasheet!U109</f>
        <v>0</v>
      </c>
      <c r="AE1275" s="138">
        <f>AE1198/Datasheet!V109</f>
        <v>0</v>
      </c>
      <c r="AF1275" s="138">
        <f>AF1198/Datasheet!W109</f>
        <v>0</v>
      </c>
      <c r="AG1275" s="138">
        <f>AG1198/Datasheet!X109</f>
        <v>0</v>
      </c>
      <c r="AH1275" s="138">
        <f>AH1198/Datasheet!Y109</f>
        <v>0</v>
      </c>
      <c r="AI1275" s="138">
        <f>AI1198/Datasheet!Z109</f>
        <v>0</v>
      </c>
      <c r="AJ1275" s="138">
        <f>AJ1198/Datasheet!AA109</f>
        <v>0</v>
      </c>
      <c r="AK1275" s="138">
        <f>AK1198/Datasheet!AB109</f>
        <v>0</v>
      </c>
    </row>
    <row r="1276" spans="3:37" s="124" customFormat="1" x14ac:dyDescent="0.25">
      <c r="C1276" s="126"/>
      <c r="E1276" s="9"/>
      <c r="F1276" s="9" t="s">
        <v>1445</v>
      </c>
      <c r="H1276" s="9" t="s">
        <v>1521</v>
      </c>
      <c r="T1276" s="138">
        <f>T1199/Datasheet!$S109</f>
        <v>0</v>
      </c>
      <c r="U1276" s="138">
        <f>U1199/Datasheet!$S109</f>
        <v>0</v>
      </c>
      <c r="V1276" s="138">
        <f>V1199/Datasheet!$S109</f>
        <v>0</v>
      </c>
      <c r="W1276" s="138">
        <f>W1199/Datasheet!$S109</f>
        <v>0</v>
      </c>
      <c r="X1276" s="138">
        <f>X1199/Datasheet!$S109</f>
        <v>0</v>
      </c>
      <c r="Y1276" s="138">
        <f>Y1199/Datasheet!$S109</f>
        <v>0</v>
      </c>
      <c r="Z1276" s="138">
        <f>Z1199/Datasheet!$S109</f>
        <v>0</v>
      </c>
      <c r="AA1276" s="138">
        <f>AA1199/Datasheet!$S109</f>
        <v>0</v>
      </c>
      <c r="AB1276" s="138">
        <f>AB1199/Datasheet!$S109</f>
        <v>0</v>
      </c>
      <c r="AC1276" s="138">
        <f>AC1199/Datasheet!$S109</f>
        <v>0</v>
      </c>
      <c r="AD1276" s="138">
        <f>AD1199/Datasheet!$S109</f>
        <v>0</v>
      </c>
      <c r="AE1276" s="138">
        <f>AE1199/Datasheet!$S109</f>
        <v>0</v>
      </c>
      <c r="AF1276" s="138">
        <f>AF1199/Datasheet!$S109</f>
        <v>0</v>
      </c>
      <c r="AG1276" s="138">
        <f>AG1199/Datasheet!$S109</f>
        <v>0</v>
      </c>
      <c r="AH1276" s="138">
        <f>AH1199/Datasheet!$S109</f>
        <v>0</v>
      </c>
      <c r="AI1276" s="138">
        <f>AI1199/Datasheet!$S109</f>
        <v>0</v>
      </c>
      <c r="AJ1276" s="138">
        <f>AJ1199/Datasheet!$S109</f>
        <v>0</v>
      </c>
      <c r="AK1276" s="138">
        <f>AK1199/Datasheet!$S109</f>
        <v>0</v>
      </c>
    </row>
    <row r="1277" spans="3:37" s="124" customFormat="1" x14ac:dyDescent="0.25">
      <c r="C1277" s="126"/>
      <c r="E1277" s="9"/>
      <c r="F1277" s="9" t="s">
        <v>1446</v>
      </c>
      <c r="H1277" s="9" t="s">
        <v>1522</v>
      </c>
      <c r="AB1277" s="138">
        <f>AB1200/Datasheet!$AA109</f>
        <v>0</v>
      </c>
      <c r="AC1277" s="138">
        <f>AC1200/Datasheet!$AA109</f>
        <v>0</v>
      </c>
      <c r="AD1277" s="138">
        <f>AD1200/Datasheet!$AA109</f>
        <v>0</v>
      </c>
      <c r="AE1277" s="138">
        <f>AE1200/Datasheet!$AA109</f>
        <v>0</v>
      </c>
      <c r="AF1277" s="138">
        <f>AF1200/Datasheet!$AA109</f>
        <v>0</v>
      </c>
      <c r="AG1277" s="138">
        <f>AG1200/Datasheet!$AA109</f>
        <v>0</v>
      </c>
      <c r="AH1277" s="138">
        <f>AH1200/Datasheet!$AA109</f>
        <v>0</v>
      </c>
      <c r="AI1277" s="138">
        <f>AI1200/Datasheet!$AA109</f>
        <v>0</v>
      </c>
      <c r="AJ1277" s="138">
        <f>AJ1200/Datasheet!$AA109</f>
        <v>0</v>
      </c>
      <c r="AK1277" s="138">
        <f>AK1200/Datasheet!$AA109</f>
        <v>0</v>
      </c>
    </row>
    <row r="1278" spans="3:37" s="124" customFormat="1" x14ac:dyDescent="0.25">
      <c r="C1278" s="126"/>
      <c r="D1278" s="9" t="s">
        <v>239</v>
      </c>
      <c r="F1278" s="9"/>
    </row>
    <row r="1279" spans="3:37" s="124" customFormat="1" x14ac:dyDescent="0.25">
      <c r="C1279" s="126"/>
      <c r="E1279" s="9"/>
      <c r="F1279" s="9" t="s">
        <v>1442</v>
      </c>
      <c r="H1279" s="9" t="s">
        <v>1519</v>
      </c>
      <c r="J1279" s="138">
        <f>J1202/Datasheet!I108</f>
        <v>3.5149384885764502E-2</v>
      </c>
      <c r="K1279" s="138">
        <f>K1202/Datasheet!J108</f>
        <v>3.9049235993208829E-2</v>
      </c>
      <c r="L1279" s="138">
        <f>L1202/Datasheet!K108</f>
        <v>3.2679738562091505E-2</v>
      </c>
      <c r="M1279" s="138">
        <f>M1202/Datasheet!L108</f>
        <v>2.6898734177215191E-2</v>
      </c>
      <c r="N1279" s="138">
        <f>N1202/Datasheet!M108</f>
        <v>3.3898305084745763E-2</v>
      </c>
      <c r="O1279" s="138">
        <f>O1202/Datasheet!N108</f>
        <v>2.0864381520119227E-2</v>
      </c>
      <c r="P1279" s="138">
        <f>P1202/Datasheet!O108</f>
        <v>3.9416058394160583E-2</v>
      </c>
      <c r="Q1279" s="138">
        <f>Q1202/Datasheet!P108</f>
        <v>2.9494382022471909E-2</v>
      </c>
      <c r="R1279" s="138">
        <f>R1202/Datasheet!Q108</f>
        <v>2.7285129604365622E-2</v>
      </c>
      <c r="S1279" s="138">
        <f>S1202/Datasheet!R108</f>
        <v>1.5936254980079681E-2</v>
      </c>
      <c r="T1279" s="138">
        <f>T1202/Datasheet!S108</f>
        <v>1.9607843137254902E-2</v>
      </c>
      <c r="U1279" s="138">
        <f>U1202/Datasheet!T108</f>
        <v>1.4102564102564103E-2</v>
      </c>
      <c r="V1279" s="138">
        <f>V1202/Datasheet!U108</f>
        <v>2.6548672566371681E-2</v>
      </c>
      <c r="W1279" s="138">
        <f>W1202/Datasheet!V108</f>
        <v>2.5862068965517241E-2</v>
      </c>
      <c r="X1279" s="138">
        <f>X1202/Datasheet!W108</f>
        <v>3.2412965186074429E-2</v>
      </c>
      <c r="Y1279" s="138">
        <f>Y1202/Datasheet!X108</f>
        <v>2.7906976744186046E-2</v>
      </c>
      <c r="Z1279" s="138">
        <f>Z1202/Datasheet!Y108</f>
        <v>4.2986425339366516E-2</v>
      </c>
      <c r="AA1279" s="138">
        <f>AA1202/Datasheet!Z108</f>
        <v>3.3622559652928416E-2</v>
      </c>
      <c r="AB1279" s="138">
        <f>AB1202/Datasheet!AA108</f>
        <v>0</v>
      </c>
      <c r="AC1279" s="138">
        <f>AC1202/Datasheet!AB108</f>
        <v>0</v>
      </c>
      <c r="AD1279" s="138">
        <f>AD1202/Datasheet!AC108</f>
        <v>0</v>
      </c>
      <c r="AE1279" s="138">
        <f>AE1202/Datasheet!AD108</f>
        <v>0</v>
      </c>
      <c r="AF1279" s="138">
        <f>AF1202/Datasheet!AE108</f>
        <v>0</v>
      </c>
      <c r="AG1279" s="138">
        <f>AG1202/Datasheet!AF108</f>
        <v>0</v>
      </c>
      <c r="AH1279" s="138">
        <f>AH1202/Datasheet!AG108</f>
        <v>0</v>
      </c>
      <c r="AI1279" s="138">
        <f>AI1202/Datasheet!AH108</f>
        <v>0</v>
      </c>
      <c r="AJ1279" s="138">
        <f>AJ1202/Datasheet!AI108</f>
        <v>0</v>
      </c>
      <c r="AK1279" s="138">
        <f>AK1202/Datasheet!AJ108</f>
        <v>0</v>
      </c>
    </row>
    <row r="1280" spans="3:37" s="124" customFormat="1" x14ac:dyDescent="0.25">
      <c r="C1280" s="126"/>
      <c r="E1280" s="9"/>
      <c r="F1280" s="9" t="s">
        <v>1444</v>
      </c>
      <c r="H1280" s="9" t="s">
        <v>1520</v>
      </c>
      <c r="R1280" s="138">
        <f>R1203/Datasheet!I108</f>
        <v>0.32688927943760981</v>
      </c>
      <c r="S1280" s="138">
        <f>S1203/Datasheet!J108</f>
        <v>0.33276740237690999</v>
      </c>
      <c r="T1280" s="138">
        <f>T1203/Datasheet!K108</f>
        <v>0.31209150326797386</v>
      </c>
      <c r="U1280" s="138">
        <f>U1203/Datasheet!L108</f>
        <v>0.28322784810126583</v>
      </c>
      <c r="V1280" s="138">
        <f>V1203/Datasheet!M108</f>
        <v>0.27734976887519258</v>
      </c>
      <c r="W1280" s="138">
        <f>W1203/Datasheet!N108</f>
        <v>0.27421758569299554</v>
      </c>
      <c r="X1280" s="138">
        <f>X1203/Datasheet!O108</f>
        <v>0.27591240875912409</v>
      </c>
      <c r="Y1280" s="138">
        <f>Y1203/Datasheet!P108</f>
        <v>0.2794943820224719</v>
      </c>
      <c r="Z1280" s="138">
        <f>Z1203/Datasheet!Q108</f>
        <v>0.286493860845839</v>
      </c>
      <c r="AA1280" s="138">
        <f>AA1203/Datasheet!R108</f>
        <v>0.29216467463479417</v>
      </c>
      <c r="AB1280" s="138">
        <f>AB1203/Datasheet!S108</f>
        <v>0.26143790849673204</v>
      </c>
      <c r="AC1280" s="138">
        <f>AC1203/Datasheet!T108</f>
        <v>0.24102564102564103</v>
      </c>
      <c r="AD1280" s="138">
        <f>AD1203/Datasheet!U108</f>
        <v>0.21871049304677623</v>
      </c>
      <c r="AE1280" s="138">
        <f>AE1203/Datasheet!V108</f>
        <v>0.19950738916256158</v>
      </c>
      <c r="AF1280" s="138">
        <f>AF1203/Datasheet!W108</f>
        <v>0.16926770708283315</v>
      </c>
      <c r="AG1280" s="138">
        <f>AG1203/Datasheet!X108</f>
        <v>0.13953488372093023</v>
      </c>
      <c r="AH1280" s="138">
        <f>AH1203/Datasheet!Y108</f>
        <v>0.10520361990950226</v>
      </c>
      <c r="AI1280" s="138">
        <f>AI1203/Datasheet!Z108</f>
        <v>7.4837310195227769E-2</v>
      </c>
      <c r="AJ1280" s="138">
        <f>AJ1203/Datasheet!AA108</f>
        <v>3.2528856243441762E-2</v>
      </c>
      <c r="AK1280" s="138">
        <f>AK1203/Datasheet!AB108</f>
        <v>0</v>
      </c>
    </row>
    <row r="1281" spans="1:37" s="124" customFormat="1" x14ac:dyDescent="0.25">
      <c r="C1281" s="126"/>
      <c r="E1281" s="9"/>
      <c r="F1281" s="9" t="s">
        <v>1445</v>
      </c>
      <c r="H1281" s="9" t="s">
        <v>1521</v>
      </c>
      <c r="T1281" s="138">
        <f>T1204/Datasheet!$S108</f>
        <v>1.9607843137254902E-2</v>
      </c>
      <c r="U1281" s="138">
        <f>U1204/Datasheet!$S108</f>
        <v>3.3986928104575161E-2</v>
      </c>
      <c r="V1281" s="138">
        <f>V1204/Datasheet!$S108</f>
        <v>6.1437908496732023E-2</v>
      </c>
      <c r="W1281" s="138">
        <f>W1204/Datasheet!$S108</f>
        <v>8.8888888888888892E-2</v>
      </c>
      <c r="X1281" s="138">
        <f>X1204/Datasheet!$S108</f>
        <v>0.12418300653594772</v>
      </c>
      <c r="Y1281" s="138">
        <f>Y1204/Datasheet!$S108</f>
        <v>0.15555555555555556</v>
      </c>
      <c r="Z1281" s="138">
        <f>Z1204/Datasheet!$S108</f>
        <v>0.20522875816993463</v>
      </c>
      <c r="AA1281" s="138">
        <f>AA1204/Datasheet!$S108</f>
        <v>0.24575163398692809</v>
      </c>
      <c r="AB1281" s="138">
        <f>AB1204/Datasheet!$S108</f>
        <v>0.24575163398692809</v>
      </c>
      <c r="AC1281" s="138">
        <f>AC1204/Datasheet!$S108</f>
        <v>0.24575163398692809</v>
      </c>
      <c r="AD1281" s="138">
        <f>AD1204/Datasheet!$S108</f>
        <v>0.24575163398692809</v>
      </c>
      <c r="AE1281" s="138">
        <f>AE1204/Datasheet!$S108</f>
        <v>0.24575163398692809</v>
      </c>
      <c r="AF1281" s="138">
        <f>AF1204/Datasheet!$S108</f>
        <v>0.24575163398692809</v>
      </c>
      <c r="AG1281" s="138">
        <f>AG1204/Datasheet!$S108</f>
        <v>0.24575163398692809</v>
      </c>
      <c r="AH1281" s="138">
        <f>AH1204/Datasheet!$S108</f>
        <v>0.24575163398692809</v>
      </c>
      <c r="AI1281" s="138">
        <f>AI1204/Datasheet!$S108</f>
        <v>0.24575163398692809</v>
      </c>
      <c r="AJ1281" s="138">
        <f>AJ1204/Datasheet!$S108</f>
        <v>0.24575163398692809</v>
      </c>
      <c r="AK1281" s="138">
        <f>AK1204/Datasheet!$S108</f>
        <v>0.24575163398692809</v>
      </c>
    </row>
    <row r="1282" spans="1:37" s="124" customFormat="1" x14ac:dyDescent="0.25">
      <c r="C1282" s="126"/>
      <c r="E1282" s="9"/>
      <c r="F1282" s="9" t="s">
        <v>1446</v>
      </c>
      <c r="H1282" s="9" t="s">
        <v>1522</v>
      </c>
      <c r="AB1282" s="138">
        <f>AB1205/Datasheet!$AA108</f>
        <v>0</v>
      </c>
      <c r="AC1282" s="138">
        <f>AC1205/Datasheet!$AA108</f>
        <v>0</v>
      </c>
      <c r="AD1282" s="138">
        <f>AD1205/Datasheet!$AA108</f>
        <v>0</v>
      </c>
      <c r="AE1282" s="138">
        <f>AE1205/Datasheet!$AA108</f>
        <v>0</v>
      </c>
      <c r="AF1282" s="138">
        <f>AF1205/Datasheet!$AA108</f>
        <v>0</v>
      </c>
      <c r="AG1282" s="138">
        <f>AG1205/Datasheet!$AA108</f>
        <v>0</v>
      </c>
      <c r="AH1282" s="138">
        <f>AH1205/Datasheet!$AA108</f>
        <v>0</v>
      </c>
      <c r="AI1282" s="138">
        <f>AI1205/Datasheet!$AA108</f>
        <v>0</v>
      </c>
      <c r="AJ1282" s="138">
        <f>AJ1205/Datasheet!$AA108</f>
        <v>0</v>
      </c>
      <c r="AK1282" s="138">
        <f>AK1205/Datasheet!$AA108</f>
        <v>0</v>
      </c>
    </row>
    <row r="1283" spans="1:37" s="250" customFormat="1" x14ac:dyDescent="0.25">
      <c r="B1283" s="251"/>
      <c r="C1283" s="252"/>
      <c r="I1283" s="253"/>
      <c r="J1283" s="253"/>
      <c r="K1283" s="253"/>
      <c r="L1283" s="253"/>
      <c r="M1283" s="253"/>
      <c r="N1283" s="253"/>
      <c r="O1283" s="254"/>
      <c r="P1283" s="254"/>
      <c r="Q1283" s="254"/>
      <c r="R1283" s="254"/>
      <c r="S1283" s="254"/>
      <c r="T1283" s="254"/>
      <c r="U1283" s="254"/>
      <c r="V1283" s="254"/>
      <c r="W1283" s="254"/>
      <c r="X1283" s="254"/>
      <c r="Y1283" s="254"/>
      <c r="Z1283" s="254"/>
      <c r="AA1283" s="254"/>
      <c r="AB1283" s="254"/>
      <c r="AC1283" s="254"/>
      <c r="AD1283" s="254"/>
      <c r="AE1283" s="254"/>
      <c r="AF1283" s="254"/>
      <c r="AG1283" s="254"/>
      <c r="AH1283" s="254"/>
      <c r="AI1283" s="254"/>
      <c r="AJ1283" s="254"/>
      <c r="AK1283" s="254"/>
    </row>
    <row r="1284" spans="1:37" s="81" customFormat="1" ht="17.25" x14ac:dyDescent="0.3">
      <c r="A1284" s="81" t="s">
        <v>1624</v>
      </c>
    </row>
    <row r="1285" spans="1:37" x14ac:dyDescent="0.25">
      <c r="B1285" s="64" t="s">
        <v>33</v>
      </c>
      <c r="C1285" t="s">
        <v>460</v>
      </c>
    </row>
    <row r="1286" spans="1:37" x14ac:dyDescent="0.25">
      <c r="B1286" s="64"/>
      <c r="C1286" t="s">
        <v>466</v>
      </c>
    </row>
    <row r="1287" spans="1:37" x14ac:dyDescent="0.25">
      <c r="B1287" s="64" t="s">
        <v>420</v>
      </c>
      <c r="C1287" t="s">
        <v>467</v>
      </c>
    </row>
    <row r="1288" spans="1:37" x14ac:dyDescent="0.25">
      <c r="B1288" s="64" t="s">
        <v>429</v>
      </c>
      <c r="C1288" s="268" t="s">
        <v>1625</v>
      </c>
    </row>
    <row r="1289" spans="1:37" s="223" customFormat="1" x14ac:dyDescent="0.25">
      <c r="B1289" s="64"/>
      <c r="C1289" s="268" t="s">
        <v>478</v>
      </c>
    </row>
    <row r="1290" spans="1:37" s="223" customFormat="1" x14ac:dyDescent="0.25">
      <c r="B1290" s="64"/>
      <c r="C1290" s="268" t="s">
        <v>1626</v>
      </c>
    </row>
    <row r="1291" spans="1:37" s="223" customFormat="1" x14ac:dyDescent="0.25">
      <c r="B1291" s="64"/>
      <c r="C1291" s="268" t="s">
        <v>312</v>
      </c>
    </row>
    <row r="1292" spans="1:37" s="223" customFormat="1" x14ac:dyDescent="0.25">
      <c r="B1292" s="64"/>
      <c r="C1292" s="268" t="s">
        <v>5</v>
      </c>
    </row>
    <row r="1293" spans="1:37" s="223" customFormat="1" x14ac:dyDescent="0.25">
      <c r="B1293" s="64"/>
      <c r="C1293" s="268" t="s">
        <v>10</v>
      </c>
    </row>
    <row r="1294" spans="1:37" s="223" customFormat="1" x14ac:dyDescent="0.25">
      <c r="B1294" s="64"/>
      <c r="C1294" s="268" t="s">
        <v>569</v>
      </c>
    </row>
    <row r="1295" spans="1:37" s="223" customFormat="1" x14ac:dyDescent="0.25">
      <c r="B1295" s="64"/>
      <c r="C1295" s="268" t="s">
        <v>13</v>
      </c>
    </row>
    <row r="1296" spans="1:37" s="223" customFormat="1" x14ac:dyDescent="0.25">
      <c r="B1296" s="64"/>
      <c r="C1296" s="268" t="s">
        <v>14</v>
      </c>
    </row>
    <row r="1297" spans="2:37" s="223" customFormat="1" x14ac:dyDescent="0.25">
      <c r="B1297" s="64"/>
      <c r="C1297" s="268" t="s">
        <v>1275</v>
      </c>
    </row>
    <row r="1298" spans="2:37" x14ac:dyDescent="0.25">
      <c r="B1298" s="64" t="s">
        <v>421</v>
      </c>
    </row>
    <row r="1299" spans="2:37" x14ac:dyDescent="0.25">
      <c r="B1299" s="64" t="s">
        <v>425</v>
      </c>
    </row>
    <row r="1300" spans="2:37" x14ac:dyDescent="0.25">
      <c r="B1300" s="64"/>
    </row>
    <row r="1301" spans="2:37" x14ac:dyDescent="0.25">
      <c r="B1301" s="64"/>
    </row>
    <row r="1302" spans="2:37" x14ac:dyDescent="0.25">
      <c r="B1302" s="64" t="s">
        <v>333</v>
      </c>
    </row>
    <row r="1303" spans="2:37" x14ac:dyDescent="0.25">
      <c r="B1303" s="71" t="s">
        <v>334</v>
      </c>
    </row>
    <row r="1304" spans="2:37" x14ac:dyDescent="0.25">
      <c r="B1304" s="71"/>
    </row>
    <row r="1305" spans="2:37" s="83" customFormat="1" ht="15.75" thickBot="1" x14ac:dyDescent="0.3"/>
    <row r="1306" spans="2:37" s="109" customFormat="1" ht="15.75" thickTop="1" x14ac:dyDescent="0.25">
      <c r="B1306" s="66" t="s">
        <v>34</v>
      </c>
      <c r="C1306" s="129" t="s">
        <v>473</v>
      </c>
      <c r="H1306" s="109" t="s">
        <v>1514</v>
      </c>
      <c r="I1306" s="136"/>
      <c r="J1306" s="136"/>
      <c r="K1306" s="136"/>
      <c r="L1306" s="136"/>
      <c r="M1306" s="136"/>
      <c r="N1306" s="136"/>
      <c r="O1306" s="136"/>
      <c r="P1306" s="136"/>
      <c r="Q1306" s="136">
        <f>AVERAGE(Q1307,Q1313,Q1319)</f>
        <v>45598.880989506899</v>
      </c>
      <c r="R1306" s="136">
        <f t="shared" ref="R1306:AK1306" si="186">AVERAGE(R1307,R1313,R1319)</f>
        <v>45231.511705766752</v>
      </c>
      <c r="S1306" s="136">
        <f t="shared" si="186"/>
        <v>46976.073924132208</v>
      </c>
      <c r="T1306" s="136">
        <f t="shared" si="186"/>
        <v>47614.92172403686</v>
      </c>
      <c r="U1306" s="136">
        <f t="shared" si="186"/>
        <v>50022.064585404063</v>
      </c>
      <c r="V1306" s="136">
        <f t="shared" si="186"/>
        <v>51036.818079627854</v>
      </c>
      <c r="W1306" s="136">
        <f t="shared" si="186"/>
        <v>52359.893885861275</v>
      </c>
      <c r="X1306" s="136">
        <f t="shared" si="186"/>
        <v>53268.475719227456</v>
      </c>
      <c r="Y1306" s="136">
        <f t="shared" si="186"/>
        <v>53239.387705954898</v>
      </c>
      <c r="Z1306" s="136">
        <f t="shared" si="186"/>
        <v>54514.117044888786</v>
      </c>
      <c r="AA1306" s="136" t="e">
        <f t="shared" si="186"/>
        <v>#DIV/0!</v>
      </c>
      <c r="AB1306" s="136" t="e">
        <f t="shared" si="186"/>
        <v>#DIV/0!</v>
      </c>
      <c r="AC1306" s="136" t="e">
        <f t="shared" si="186"/>
        <v>#DIV/0!</v>
      </c>
      <c r="AD1306" s="136" t="e">
        <f t="shared" si="186"/>
        <v>#DIV/0!</v>
      </c>
      <c r="AE1306" s="136" t="e">
        <f t="shared" si="186"/>
        <v>#DIV/0!</v>
      </c>
      <c r="AF1306" s="136" t="e">
        <f t="shared" si="186"/>
        <v>#DIV/0!</v>
      </c>
      <c r="AG1306" s="136" t="e">
        <f t="shared" si="186"/>
        <v>#DIV/0!</v>
      </c>
      <c r="AH1306" s="136" t="e">
        <f t="shared" si="186"/>
        <v>#DIV/0!</v>
      </c>
      <c r="AI1306" s="136" t="e">
        <f t="shared" si="186"/>
        <v>#DIV/0!</v>
      </c>
      <c r="AJ1306" s="136" t="e">
        <f t="shared" si="186"/>
        <v>#DIV/0!</v>
      </c>
      <c r="AK1306" s="136" t="e">
        <f t="shared" si="186"/>
        <v>#DIV/0!</v>
      </c>
    </row>
    <row r="1307" spans="2:37" s="124" customFormat="1" x14ac:dyDescent="0.25">
      <c r="B1307" s="125"/>
      <c r="C1307" s="126"/>
      <c r="D1307" s="124" t="s">
        <v>462</v>
      </c>
      <c r="H1307" s="124" t="s">
        <v>1514</v>
      </c>
      <c r="I1307" s="127"/>
      <c r="J1307" s="127"/>
      <c r="K1307" s="127"/>
      <c r="L1307" s="127"/>
      <c r="M1307" s="127"/>
      <c r="N1307" s="127"/>
      <c r="O1307" s="127"/>
      <c r="P1307" s="127"/>
      <c r="Q1307" s="127">
        <f>SUM(Q1308:Q1312)</f>
        <v>61673.35438740364</v>
      </c>
      <c r="R1307" s="127">
        <f t="shared" ref="R1307:AK1307" si="187">SUM(R1308:R1312)</f>
        <v>61220.381812419044</v>
      </c>
      <c r="S1307" s="127">
        <f t="shared" si="187"/>
        <v>62558.041577395285</v>
      </c>
      <c r="T1307" s="127">
        <f t="shared" si="187"/>
        <v>63181.26844905661</v>
      </c>
      <c r="U1307" s="127">
        <f t="shared" si="187"/>
        <v>65390.065247564577</v>
      </c>
      <c r="V1307" s="127">
        <f t="shared" si="187"/>
        <v>67081.996513845123</v>
      </c>
      <c r="W1307" s="127">
        <f t="shared" si="187"/>
        <v>68226.610970305483</v>
      </c>
      <c r="X1307" s="127">
        <f t="shared" si="187"/>
        <v>69403.905223946917</v>
      </c>
      <c r="Y1307" s="127">
        <f t="shared" si="187"/>
        <v>68039.965192679956</v>
      </c>
      <c r="Z1307" s="127">
        <f t="shared" si="187"/>
        <v>68825.8325108891</v>
      </c>
      <c r="AA1307" s="127" t="e">
        <f t="shared" si="187"/>
        <v>#DIV/0!</v>
      </c>
      <c r="AB1307" s="127" t="e">
        <f t="shared" si="187"/>
        <v>#DIV/0!</v>
      </c>
      <c r="AC1307" s="127" t="e">
        <f t="shared" si="187"/>
        <v>#DIV/0!</v>
      </c>
      <c r="AD1307" s="127" t="e">
        <f t="shared" si="187"/>
        <v>#DIV/0!</v>
      </c>
      <c r="AE1307" s="127" t="e">
        <f t="shared" si="187"/>
        <v>#DIV/0!</v>
      </c>
      <c r="AF1307" s="127" t="e">
        <f t="shared" si="187"/>
        <v>#DIV/0!</v>
      </c>
      <c r="AG1307" s="127" t="e">
        <f t="shared" si="187"/>
        <v>#DIV/0!</v>
      </c>
      <c r="AH1307" s="127" t="e">
        <f t="shared" si="187"/>
        <v>#DIV/0!</v>
      </c>
      <c r="AI1307" s="127" t="e">
        <f t="shared" si="187"/>
        <v>#DIV/0!</v>
      </c>
      <c r="AJ1307" s="127" t="e">
        <f t="shared" si="187"/>
        <v>#DIV/0!</v>
      </c>
      <c r="AK1307" s="127" t="e">
        <f t="shared" si="187"/>
        <v>#DIV/0!</v>
      </c>
    </row>
    <row r="1308" spans="2:37" s="9" customFormat="1" x14ac:dyDescent="0.25">
      <c r="B1308" s="66"/>
      <c r="C1308" s="51"/>
      <c r="E1308" s="9" t="s">
        <v>468</v>
      </c>
      <c r="H1308" s="9" t="s">
        <v>1514</v>
      </c>
      <c r="I1308" s="97"/>
      <c r="J1308" s="97"/>
      <c r="K1308" s="97"/>
      <c r="L1308" s="97"/>
      <c r="M1308" s="97"/>
      <c r="N1308" s="97"/>
      <c r="O1308" s="97"/>
      <c r="P1308" s="97"/>
      <c r="Q1308" s="97">
        <f>Q1327*(1-Q1328)</f>
        <v>19761.899999999998</v>
      </c>
      <c r="R1308" s="97">
        <f t="shared" ref="R1308:AK1308" si="188">R1327*(1-R1328)</f>
        <v>20055.45</v>
      </c>
      <c r="S1308" s="97">
        <f t="shared" si="188"/>
        <v>20259.7</v>
      </c>
      <c r="T1308" s="97">
        <f t="shared" si="188"/>
        <v>20496.25</v>
      </c>
      <c r="U1308" s="97">
        <f t="shared" si="188"/>
        <v>20858.2</v>
      </c>
      <c r="V1308" s="97">
        <f t="shared" si="188"/>
        <v>21195.45</v>
      </c>
      <c r="W1308" s="97">
        <f t="shared" si="188"/>
        <v>21491.85</v>
      </c>
      <c r="X1308" s="97">
        <f t="shared" si="188"/>
        <v>21776.85</v>
      </c>
      <c r="Y1308" s="97">
        <f t="shared" si="188"/>
        <v>21906.05</v>
      </c>
      <c r="Z1308" s="97">
        <f t="shared" si="188"/>
        <v>22275.547222222271</v>
      </c>
      <c r="AA1308" s="97">
        <f t="shared" si="188"/>
        <v>0</v>
      </c>
      <c r="AB1308" s="97">
        <f t="shared" si="188"/>
        <v>0</v>
      </c>
      <c r="AC1308" s="97">
        <f t="shared" si="188"/>
        <v>0</v>
      </c>
      <c r="AD1308" s="97">
        <f t="shared" si="188"/>
        <v>0</v>
      </c>
      <c r="AE1308" s="97">
        <f t="shared" si="188"/>
        <v>0</v>
      </c>
      <c r="AF1308" s="97">
        <f t="shared" si="188"/>
        <v>0</v>
      </c>
      <c r="AG1308" s="97">
        <f t="shared" si="188"/>
        <v>0</v>
      </c>
      <c r="AH1308" s="97">
        <f t="shared" si="188"/>
        <v>0</v>
      </c>
      <c r="AI1308" s="97">
        <f t="shared" si="188"/>
        <v>0</v>
      </c>
      <c r="AJ1308" s="97">
        <f t="shared" si="188"/>
        <v>0</v>
      </c>
      <c r="AK1308" s="97">
        <f t="shared" si="188"/>
        <v>0</v>
      </c>
    </row>
    <row r="1309" spans="2:37" s="9" customFormat="1" x14ac:dyDescent="0.25">
      <c r="B1309" s="66"/>
      <c r="C1309" s="51"/>
      <c r="E1309" s="9" t="s">
        <v>469</v>
      </c>
      <c r="H1309" s="9" t="s">
        <v>1514</v>
      </c>
      <c r="I1309" s="97"/>
      <c r="J1309" s="97"/>
      <c r="K1309" s="97"/>
      <c r="L1309" s="97"/>
      <c r="M1309" s="97"/>
      <c r="N1309" s="97"/>
      <c r="O1309" s="97"/>
      <c r="P1309" s="97"/>
      <c r="Q1309" s="97">
        <f>Q1330*(1-Q1331)</f>
        <v>6329.0051132294293</v>
      </c>
      <c r="R1309" s="97">
        <f t="shared" ref="R1309:AK1309" si="189">R1330*(1-R1331)</f>
        <v>6678.9532785758483</v>
      </c>
      <c r="S1309" s="97">
        <f t="shared" si="189"/>
        <v>6646.6946183780838</v>
      </c>
      <c r="T1309" s="97">
        <f t="shared" si="189"/>
        <v>6929.5120229469521</v>
      </c>
      <c r="U1309" s="97">
        <f t="shared" si="189"/>
        <v>7054.237602132077</v>
      </c>
      <c r="V1309" s="97">
        <f t="shared" si="189"/>
        <v>7424.4889774916946</v>
      </c>
      <c r="W1309" s="97">
        <f t="shared" si="189"/>
        <v>7505.8564287124464</v>
      </c>
      <c r="X1309" s="97">
        <f t="shared" si="189"/>
        <v>7620.044860557613</v>
      </c>
      <c r="Y1309" s="97">
        <f t="shared" si="189"/>
        <v>7895.5049034469193</v>
      </c>
      <c r="Z1309" s="97">
        <f t="shared" si="189"/>
        <v>8307.9188904910825</v>
      </c>
      <c r="AA1309" s="97" t="e">
        <f t="shared" si="189"/>
        <v>#DIV/0!</v>
      </c>
      <c r="AB1309" s="97" t="e">
        <f t="shared" si="189"/>
        <v>#DIV/0!</v>
      </c>
      <c r="AC1309" s="97" t="e">
        <f t="shared" si="189"/>
        <v>#DIV/0!</v>
      </c>
      <c r="AD1309" s="97" t="e">
        <f t="shared" si="189"/>
        <v>#DIV/0!</v>
      </c>
      <c r="AE1309" s="97" t="e">
        <f t="shared" si="189"/>
        <v>#DIV/0!</v>
      </c>
      <c r="AF1309" s="97" t="e">
        <f t="shared" si="189"/>
        <v>#DIV/0!</v>
      </c>
      <c r="AG1309" s="97" t="e">
        <f t="shared" si="189"/>
        <v>#DIV/0!</v>
      </c>
      <c r="AH1309" s="97" t="e">
        <f t="shared" si="189"/>
        <v>#DIV/0!</v>
      </c>
      <c r="AI1309" s="97" t="e">
        <f t="shared" si="189"/>
        <v>#DIV/0!</v>
      </c>
      <c r="AJ1309" s="97" t="e">
        <f t="shared" si="189"/>
        <v>#DIV/0!</v>
      </c>
      <c r="AK1309" s="97" t="e">
        <f t="shared" si="189"/>
        <v>#DIV/0!</v>
      </c>
    </row>
    <row r="1310" spans="2:37" s="9" customFormat="1" x14ac:dyDescent="0.25">
      <c r="B1310" s="66"/>
      <c r="C1310" s="51"/>
      <c r="E1310" s="9" t="s">
        <v>470</v>
      </c>
      <c r="H1310" s="9" t="s">
        <v>1514</v>
      </c>
      <c r="I1310" s="97"/>
      <c r="J1310" s="97"/>
      <c r="K1310" s="97"/>
      <c r="L1310" s="97"/>
      <c r="M1310" s="97"/>
      <c r="N1310" s="97"/>
      <c r="O1310" s="97"/>
      <c r="P1310" s="97"/>
      <c r="Q1310" s="97">
        <f>Q1333*Q1334*Q1335*Q1351</f>
        <v>5474.6808000000001</v>
      </c>
      <c r="R1310" s="97">
        <f t="shared" ref="R1310:AK1310" si="190">R1333*R1334*R1335*R1351</f>
        <v>5605.782734346818</v>
      </c>
      <c r="S1310" s="97">
        <f t="shared" si="190"/>
        <v>5701.8755372326705</v>
      </c>
      <c r="T1310" s="97">
        <f t="shared" si="190"/>
        <v>5215.3695336253541</v>
      </c>
      <c r="U1310" s="97">
        <f t="shared" si="190"/>
        <v>5319.178460190672</v>
      </c>
      <c r="V1310" s="97">
        <f t="shared" si="190"/>
        <v>5064.103299561968</v>
      </c>
      <c r="W1310" s="97">
        <f t="shared" si="190"/>
        <v>5057.433614841535</v>
      </c>
      <c r="X1310" s="97">
        <f t="shared" si="190"/>
        <v>4387.9023323885594</v>
      </c>
      <c r="Y1310" s="97">
        <f t="shared" si="190"/>
        <v>3890.0025637722233</v>
      </c>
      <c r="Z1310" s="97">
        <f t="shared" si="190"/>
        <v>3994.7225090182933</v>
      </c>
      <c r="AA1310" s="97">
        <f t="shared" si="190"/>
        <v>0</v>
      </c>
      <c r="AB1310" s="97" t="e">
        <f t="shared" si="190"/>
        <v>#DIV/0!</v>
      </c>
      <c r="AC1310" s="97" t="e">
        <f t="shared" si="190"/>
        <v>#DIV/0!</v>
      </c>
      <c r="AD1310" s="97" t="e">
        <f t="shared" si="190"/>
        <v>#DIV/0!</v>
      </c>
      <c r="AE1310" s="97" t="e">
        <f t="shared" si="190"/>
        <v>#DIV/0!</v>
      </c>
      <c r="AF1310" s="97" t="e">
        <f t="shared" si="190"/>
        <v>#DIV/0!</v>
      </c>
      <c r="AG1310" s="97" t="e">
        <f t="shared" si="190"/>
        <v>#DIV/0!</v>
      </c>
      <c r="AH1310" s="97" t="e">
        <f t="shared" si="190"/>
        <v>#DIV/0!</v>
      </c>
      <c r="AI1310" s="97" t="e">
        <f t="shared" si="190"/>
        <v>#DIV/0!</v>
      </c>
      <c r="AJ1310" s="97" t="e">
        <f t="shared" si="190"/>
        <v>#DIV/0!</v>
      </c>
      <c r="AK1310" s="97" t="e">
        <f t="shared" si="190"/>
        <v>#DIV/0!</v>
      </c>
    </row>
    <row r="1311" spans="2:37" s="9" customFormat="1" x14ac:dyDescent="0.25">
      <c r="B1311" s="66"/>
      <c r="C1311" s="51"/>
      <c r="E1311" s="9" t="s">
        <v>471</v>
      </c>
      <c r="H1311" s="9" t="s">
        <v>1514</v>
      </c>
      <c r="I1311" s="97"/>
      <c r="J1311" s="97"/>
      <c r="K1311" s="97"/>
      <c r="L1311" s="97"/>
      <c r="M1311" s="97"/>
      <c r="N1311" s="97"/>
      <c r="O1311" s="97"/>
      <c r="P1311" s="97"/>
      <c r="Q1311" s="97">
        <f>Q1338/(1-Q1341)/Q1342-Q1330</f>
        <v>8843.3358208955251</v>
      </c>
      <c r="R1311" s="97">
        <f t="shared" ref="R1311:AK1311" si="191">R1338/(1-R1341)/R1342-R1330</f>
        <v>8305.815920398014</v>
      </c>
      <c r="S1311" s="97">
        <f t="shared" si="191"/>
        <v>8926.3631840796043</v>
      </c>
      <c r="T1311" s="97">
        <f t="shared" si="191"/>
        <v>9645.4452736318453</v>
      </c>
      <c r="U1311" s="97">
        <f t="shared" si="191"/>
        <v>10627.557213930351</v>
      </c>
      <c r="V1311" s="97">
        <f t="shared" si="191"/>
        <v>10556.315920398018</v>
      </c>
      <c r="W1311" s="97">
        <f t="shared" si="191"/>
        <v>11600.176616915429</v>
      </c>
      <c r="X1311" s="97">
        <f t="shared" si="191"/>
        <v>12066.559701492544</v>
      </c>
      <c r="Y1311" s="97">
        <f t="shared" si="191"/>
        <v>12230.534825870651</v>
      </c>
      <c r="Z1311" s="97">
        <f t="shared" si="191"/>
        <v>12210.62230514106</v>
      </c>
      <c r="AA1311" s="97" t="e">
        <f t="shared" si="191"/>
        <v>#DIV/0!</v>
      </c>
      <c r="AB1311" s="97" t="e">
        <f t="shared" si="191"/>
        <v>#DIV/0!</v>
      </c>
      <c r="AC1311" s="97" t="e">
        <f t="shared" si="191"/>
        <v>#DIV/0!</v>
      </c>
      <c r="AD1311" s="97" t="e">
        <f t="shared" si="191"/>
        <v>#DIV/0!</v>
      </c>
      <c r="AE1311" s="97" t="e">
        <f t="shared" si="191"/>
        <v>#DIV/0!</v>
      </c>
      <c r="AF1311" s="97" t="e">
        <f t="shared" si="191"/>
        <v>#DIV/0!</v>
      </c>
      <c r="AG1311" s="97" t="e">
        <f t="shared" si="191"/>
        <v>#DIV/0!</v>
      </c>
      <c r="AH1311" s="97" t="e">
        <f t="shared" si="191"/>
        <v>#DIV/0!</v>
      </c>
      <c r="AI1311" s="97" t="e">
        <f t="shared" si="191"/>
        <v>#DIV/0!</v>
      </c>
      <c r="AJ1311" s="97" t="e">
        <f t="shared" si="191"/>
        <v>#DIV/0!</v>
      </c>
      <c r="AK1311" s="97" t="e">
        <f t="shared" si="191"/>
        <v>#DIV/0!</v>
      </c>
    </row>
    <row r="1312" spans="2:37" s="9" customFormat="1" x14ac:dyDescent="0.25">
      <c r="B1312" s="66"/>
      <c r="C1312" s="51"/>
      <c r="E1312" s="9" t="s">
        <v>472</v>
      </c>
      <c r="H1312" s="9" t="s">
        <v>1514</v>
      </c>
      <c r="I1312" s="97"/>
      <c r="J1312" s="97"/>
      <c r="K1312" s="97"/>
      <c r="L1312" s="97"/>
      <c r="M1312" s="97"/>
      <c r="N1312" s="97"/>
      <c r="O1312" s="97"/>
      <c r="P1312" s="97"/>
      <c r="Q1312" s="97">
        <f>SUM(Q1344*Q1345,Q1346*Q1347,Q1348*Q1349)*Q1351+Q1355+Q1363+Q1367+Q1359</f>
        <v>21264.432653278687</v>
      </c>
      <c r="R1312" s="97">
        <f t="shared" ref="R1312:AK1312" si="192">SUM(R1344*R1345,R1346*R1347,R1348*R1349)*R1351+R1355+R1363+R1367+R1359</f>
        <v>20574.37987909836</v>
      </c>
      <c r="S1312" s="97">
        <f t="shared" si="192"/>
        <v>21023.40823770492</v>
      </c>
      <c r="T1312" s="97">
        <f t="shared" si="192"/>
        <v>20894.691618852456</v>
      </c>
      <c r="U1312" s="97">
        <f t="shared" si="192"/>
        <v>21530.891971311477</v>
      </c>
      <c r="V1312" s="97">
        <f t="shared" si="192"/>
        <v>22841.638316393441</v>
      </c>
      <c r="W1312" s="97">
        <f t="shared" si="192"/>
        <v>22571.294309836063</v>
      </c>
      <c r="X1312" s="97">
        <f t="shared" si="192"/>
        <v>23552.548329508198</v>
      </c>
      <c r="Y1312" s="97">
        <f t="shared" si="192"/>
        <v>22117.872899590166</v>
      </c>
      <c r="Z1312" s="97">
        <f t="shared" si="192"/>
        <v>22037.021584016395</v>
      </c>
      <c r="AA1312" s="97">
        <f t="shared" si="192"/>
        <v>15873.617877868854</v>
      </c>
      <c r="AB1312" s="97" t="e">
        <f t="shared" si="192"/>
        <v>#DIV/0!</v>
      </c>
      <c r="AC1312" s="97" t="e">
        <f t="shared" si="192"/>
        <v>#DIV/0!</v>
      </c>
      <c r="AD1312" s="97" t="e">
        <f t="shared" si="192"/>
        <v>#DIV/0!</v>
      </c>
      <c r="AE1312" s="97" t="e">
        <f t="shared" si="192"/>
        <v>#DIV/0!</v>
      </c>
      <c r="AF1312" s="97" t="e">
        <f t="shared" si="192"/>
        <v>#DIV/0!</v>
      </c>
      <c r="AG1312" s="97" t="e">
        <f t="shared" si="192"/>
        <v>#DIV/0!</v>
      </c>
      <c r="AH1312" s="97" t="e">
        <f t="shared" si="192"/>
        <v>#DIV/0!</v>
      </c>
      <c r="AI1312" s="97" t="e">
        <f t="shared" si="192"/>
        <v>#DIV/0!</v>
      </c>
      <c r="AJ1312" s="97" t="e">
        <f t="shared" si="192"/>
        <v>#DIV/0!</v>
      </c>
      <c r="AK1312" s="97" t="e">
        <f t="shared" si="192"/>
        <v>#DIV/0!</v>
      </c>
    </row>
    <row r="1313" spans="2:37" s="124" customFormat="1" x14ac:dyDescent="0.25">
      <c r="B1313" s="125"/>
      <c r="C1313" s="126"/>
      <c r="D1313" s="124" t="s">
        <v>463</v>
      </c>
      <c r="H1313" s="124" t="s">
        <v>1514</v>
      </c>
      <c r="I1313" s="127"/>
      <c r="J1313" s="127"/>
      <c r="K1313" s="127"/>
      <c r="L1313" s="127"/>
      <c r="M1313" s="127"/>
      <c r="N1313" s="127"/>
      <c r="O1313" s="127"/>
      <c r="P1313" s="127"/>
      <c r="Q1313" s="127">
        <f>SUM(Q1314:Q1318)</f>
        <v>39760.38734993845</v>
      </c>
      <c r="R1313" s="127">
        <f t="shared" ref="R1313:AK1313" si="193">SUM(R1314:R1318)</f>
        <v>39607.89629689906</v>
      </c>
      <c r="S1313" s="127">
        <f t="shared" si="193"/>
        <v>41364.137677428938</v>
      </c>
      <c r="T1313" s="127">
        <f t="shared" si="193"/>
        <v>42732.439594055344</v>
      </c>
      <c r="U1313" s="127">
        <f t="shared" si="193"/>
        <v>45480.676538330372</v>
      </c>
      <c r="V1313" s="127">
        <f t="shared" si="193"/>
        <v>45783.990328929242</v>
      </c>
      <c r="W1313" s="127">
        <f t="shared" si="193"/>
        <v>47174.060865778134</v>
      </c>
      <c r="X1313" s="127">
        <f t="shared" si="193"/>
        <v>48047.124151988595</v>
      </c>
      <c r="Y1313" s="127">
        <f t="shared" si="193"/>
        <v>48709.284511567581</v>
      </c>
      <c r="Z1313" s="127">
        <f t="shared" si="193"/>
        <v>50762.509630877437</v>
      </c>
      <c r="AA1313" s="127" t="e">
        <f t="shared" si="193"/>
        <v>#DIV/0!</v>
      </c>
      <c r="AB1313" s="127" t="e">
        <f t="shared" si="193"/>
        <v>#DIV/0!</v>
      </c>
      <c r="AC1313" s="127" t="e">
        <f t="shared" si="193"/>
        <v>#DIV/0!</v>
      </c>
      <c r="AD1313" s="127" t="e">
        <f t="shared" si="193"/>
        <v>#DIV/0!</v>
      </c>
      <c r="AE1313" s="127" t="e">
        <f t="shared" si="193"/>
        <v>#DIV/0!</v>
      </c>
      <c r="AF1313" s="127" t="e">
        <f t="shared" si="193"/>
        <v>#DIV/0!</v>
      </c>
      <c r="AG1313" s="127" t="e">
        <f t="shared" si="193"/>
        <v>#DIV/0!</v>
      </c>
      <c r="AH1313" s="127" t="e">
        <f t="shared" si="193"/>
        <v>#DIV/0!</v>
      </c>
      <c r="AI1313" s="127" t="e">
        <f t="shared" si="193"/>
        <v>#DIV/0!</v>
      </c>
      <c r="AJ1313" s="127" t="e">
        <f t="shared" si="193"/>
        <v>#DIV/0!</v>
      </c>
      <c r="AK1313" s="127" t="e">
        <f t="shared" si="193"/>
        <v>#DIV/0!</v>
      </c>
    </row>
    <row r="1314" spans="2:37" s="9" customFormat="1" x14ac:dyDescent="0.25">
      <c r="B1314" s="66"/>
      <c r="C1314" s="51"/>
      <c r="E1314" s="9" t="s">
        <v>468</v>
      </c>
      <c r="H1314" s="9" t="s">
        <v>1514</v>
      </c>
      <c r="I1314" s="97"/>
      <c r="J1314" s="97"/>
      <c r="K1314" s="97"/>
      <c r="L1314" s="97"/>
      <c r="M1314" s="97"/>
      <c r="N1314" s="97"/>
      <c r="O1314" s="97"/>
      <c r="P1314" s="97"/>
      <c r="Q1314" s="97">
        <f>Q1327*(1-Q1328)</f>
        <v>19761.899999999998</v>
      </c>
      <c r="R1314" s="97">
        <f t="shared" ref="R1314:AK1314" si="194">R1327*(1-R1328)</f>
        <v>20055.45</v>
      </c>
      <c r="S1314" s="97">
        <f t="shared" si="194"/>
        <v>20259.7</v>
      </c>
      <c r="T1314" s="97">
        <f t="shared" si="194"/>
        <v>20496.25</v>
      </c>
      <c r="U1314" s="97">
        <f t="shared" si="194"/>
        <v>20858.2</v>
      </c>
      <c r="V1314" s="97">
        <f t="shared" si="194"/>
        <v>21195.45</v>
      </c>
      <c r="W1314" s="97">
        <f t="shared" si="194"/>
        <v>21491.85</v>
      </c>
      <c r="X1314" s="97">
        <f t="shared" si="194"/>
        <v>21776.85</v>
      </c>
      <c r="Y1314" s="97">
        <f t="shared" si="194"/>
        <v>21906.05</v>
      </c>
      <c r="Z1314" s="97">
        <f t="shared" si="194"/>
        <v>22275.547222222271</v>
      </c>
      <c r="AA1314" s="97">
        <f t="shared" si="194"/>
        <v>0</v>
      </c>
      <c r="AB1314" s="97">
        <f t="shared" si="194"/>
        <v>0</v>
      </c>
      <c r="AC1314" s="97">
        <f t="shared" si="194"/>
        <v>0</v>
      </c>
      <c r="AD1314" s="97">
        <f t="shared" si="194"/>
        <v>0</v>
      </c>
      <c r="AE1314" s="97">
        <f t="shared" si="194"/>
        <v>0</v>
      </c>
      <c r="AF1314" s="97">
        <f t="shared" si="194"/>
        <v>0</v>
      </c>
      <c r="AG1314" s="97">
        <f t="shared" si="194"/>
        <v>0</v>
      </c>
      <c r="AH1314" s="97">
        <f t="shared" si="194"/>
        <v>0</v>
      </c>
      <c r="AI1314" s="97">
        <f t="shared" si="194"/>
        <v>0</v>
      </c>
      <c r="AJ1314" s="97">
        <f t="shared" si="194"/>
        <v>0</v>
      </c>
      <c r="AK1314" s="97">
        <f t="shared" si="194"/>
        <v>0</v>
      </c>
    </row>
    <row r="1315" spans="2:37" s="9" customFormat="1" x14ac:dyDescent="0.25">
      <c r="B1315" s="66"/>
      <c r="C1315" s="51"/>
      <c r="E1315" s="9" t="s">
        <v>469</v>
      </c>
      <c r="H1315" s="9" t="s">
        <v>1514</v>
      </c>
      <c r="I1315" s="97"/>
      <c r="J1315" s="97"/>
      <c r="K1315" s="97"/>
      <c r="L1315" s="97"/>
      <c r="M1315" s="97"/>
      <c r="N1315" s="97"/>
      <c r="O1315" s="97"/>
      <c r="P1315" s="97"/>
      <c r="Q1315" s="97">
        <f>Q1330*(1-Q1331)</f>
        <v>6329.0051132294293</v>
      </c>
      <c r="R1315" s="97">
        <f t="shared" ref="R1315:AK1315" si="195">R1330*(1-R1331)</f>
        <v>6678.9532785758483</v>
      </c>
      <c r="S1315" s="97">
        <f t="shared" si="195"/>
        <v>6646.6946183780838</v>
      </c>
      <c r="T1315" s="97">
        <f t="shared" si="195"/>
        <v>6929.5120229469521</v>
      </c>
      <c r="U1315" s="97">
        <f t="shared" si="195"/>
        <v>7054.237602132077</v>
      </c>
      <c r="V1315" s="97">
        <f t="shared" si="195"/>
        <v>7424.4889774916946</v>
      </c>
      <c r="W1315" s="97">
        <f t="shared" si="195"/>
        <v>7505.8564287124464</v>
      </c>
      <c r="X1315" s="97">
        <f t="shared" si="195"/>
        <v>7620.044860557613</v>
      </c>
      <c r="Y1315" s="97">
        <f t="shared" si="195"/>
        <v>7895.5049034469193</v>
      </c>
      <c r="Z1315" s="97">
        <f t="shared" si="195"/>
        <v>8307.9188904910825</v>
      </c>
      <c r="AA1315" s="97" t="e">
        <f t="shared" si="195"/>
        <v>#DIV/0!</v>
      </c>
      <c r="AB1315" s="97" t="e">
        <f t="shared" si="195"/>
        <v>#DIV/0!</v>
      </c>
      <c r="AC1315" s="97" t="e">
        <f t="shared" si="195"/>
        <v>#DIV/0!</v>
      </c>
      <c r="AD1315" s="97" t="e">
        <f t="shared" si="195"/>
        <v>#DIV/0!</v>
      </c>
      <c r="AE1315" s="97" t="e">
        <f t="shared" si="195"/>
        <v>#DIV/0!</v>
      </c>
      <c r="AF1315" s="97" t="e">
        <f t="shared" si="195"/>
        <v>#DIV/0!</v>
      </c>
      <c r="AG1315" s="97" t="e">
        <f t="shared" si="195"/>
        <v>#DIV/0!</v>
      </c>
      <c r="AH1315" s="97" t="e">
        <f t="shared" si="195"/>
        <v>#DIV/0!</v>
      </c>
      <c r="AI1315" s="97" t="e">
        <f t="shared" si="195"/>
        <v>#DIV/0!</v>
      </c>
      <c r="AJ1315" s="97" t="e">
        <f t="shared" si="195"/>
        <v>#DIV/0!</v>
      </c>
      <c r="AK1315" s="97" t="e">
        <f t="shared" si="195"/>
        <v>#DIV/0!</v>
      </c>
    </row>
    <row r="1316" spans="2:37" x14ac:dyDescent="0.25">
      <c r="E1316" s="9" t="s">
        <v>470</v>
      </c>
      <c r="F1316" s="9"/>
      <c r="G1316" s="9"/>
      <c r="H1316" s="9" t="s">
        <v>1514</v>
      </c>
      <c r="Q1316" s="97">
        <f>Q1333*Q1334*Q1335*Q1352</f>
        <v>2800.8479999999995</v>
      </c>
      <c r="R1316" s="97">
        <f t="shared" ref="R1316:AK1316" si="196">R1333*R1334*R1335*R1352</f>
        <v>2870.7101782014943</v>
      </c>
      <c r="S1316" s="97">
        <f t="shared" si="196"/>
        <v>3132.5758633341916</v>
      </c>
      <c r="T1316" s="97">
        <f t="shared" si="196"/>
        <v>3178.8919062097398</v>
      </c>
      <c r="U1316" s="97">
        <f t="shared" si="196"/>
        <v>3466.2514290131412</v>
      </c>
      <c r="V1316" s="97">
        <f t="shared" si="196"/>
        <v>3207.5636623550636</v>
      </c>
      <c r="W1316" s="97">
        <f t="shared" si="196"/>
        <v>3220.725967946405</v>
      </c>
      <c r="X1316" s="97">
        <f t="shared" si="196"/>
        <v>2933.4130188095846</v>
      </c>
      <c r="Y1316" s="97">
        <f t="shared" si="196"/>
        <v>2646.3543367173406</v>
      </c>
      <c r="Z1316" s="97">
        <f t="shared" si="196"/>
        <v>2934.2401209739751</v>
      </c>
      <c r="AA1316" s="97">
        <f t="shared" si="196"/>
        <v>0</v>
      </c>
      <c r="AB1316" s="97" t="e">
        <f t="shared" si="196"/>
        <v>#DIV/0!</v>
      </c>
      <c r="AC1316" s="97" t="e">
        <f t="shared" si="196"/>
        <v>#DIV/0!</v>
      </c>
      <c r="AD1316" s="97" t="e">
        <f t="shared" si="196"/>
        <v>#DIV/0!</v>
      </c>
      <c r="AE1316" s="97" t="e">
        <f t="shared" si="196"/>
        <v>#DIV/0!</v>
      </c>
      <c r="AF1316" s="97" t="e">
        <f t="shared" si="196"/>
        <v>#DIV/0!</v>
      </c>
      <c r="AG1316" s="97" t="e">
        <f t="shared" si="196"/>
        <v>#DIV/0!</v>
      </c>
      <c r="AH1316" s="97" t="e">
        <f t="shared" si="196"/>
        <v>#DIV/0!</v>
      </c>
      <c r="AI1316" s="97" t="e">
        <f t="shared" si="196"/>
        <v>#DIV/0!</v>
      </c>
      <c r="AJ1316" s="97" t="e">
        <f t="shared" si="196"/>
        <v>#DIV/0!</v>
      </c>
      <c r="AK1316" s="97" t="e">
        <f t="shared" si="196"/>
        <v>#DIV/0!</v>
      </c>
    </row>
    <row r="1317" spans="2:37" x14ac:dyDescent="0.25">
      <c r="E1317" s="9" t="s">
        <v>471</v>
      </c>
      <c r="F1317" s="9"/>
      <c r="G1317" s="9"/>
      <c r="H1317" s="9" t="s">
        <v>1514</v>
      </c>
      <c r="Q1317" s="97">
        <f>Q1339/(1-Q1341)/Q1342-Q1330</f>
        <v>4199.6791044776146</v>
      </c>
      <c r="R1317" s="97">
        <f t="shared" ref="R1317:AK1317" si="197">R1339/(1-R1341)/R1342-R1330</f>
        <v>3511.9726368159245</v>
      </c>
      <c r="S1317" s="97">
        <f t="shared" si="197"/>
        <v>4202.1716417910466</v>
      </c>
      <c r="T1317" s="97">
        <f t="shared" si="197"/>
        <v>4529.7736318407988</v>
      </c>
      <c r="U1317" s="97">
        <f t="shared" si="197"/>
        <v>5450.9402985074667</v>
      </c>
      <c r="V1317" s="97">
        <f t="shared" si="197"/>
        <v>5402.3980099502551</v>
      </c>
      <c r="W1317" s="97">
        <f t="shared" si="197"/>
        <v>6079.3432835820931</v>
      </c>
      <c r="X1317" s="97">
        <f t="shared" si="197"/>
        <v>6497.2189054726405</v>
      </c>
      <c r="Y1317" s="97">
        <f t="shared" si="197"/>
        <v>6853.9800995024925</v>
      </c>
      <c r="Z1317" s="97">
        <f t="shared" si="197"/>
        <v>7201.9158374793624</v>
      </c>
      <c r="AA1317" s="97" t="e">
        <f t="shared" si="197"/>
        <v>#DIV/0!</v>
      </c>
      <c r="AB1317" s="97" t="e">
        <f t="shared" si="197"/>
        <v>#DIV/0!</v>
      </c>
      <c r="AC1317" s="97" t="e">
        <f t="shared" si="197"/>
        <v>#DIV/0!</v>
      </c>
      <c r="AD1317" s="97" t="e">
        <f t="shared" si="197"/>
        <v>#DIV/0!</v>
      </c>
      <c r="AE1317" s="97" t="e">
        <f t="shared" si="197"/>
        <v>#DIV/0!</v>
      </c>
      <c r="AF1317" s="97" t="e">
        <f t="shared" si="197"/>
        <v>#DIV/0!</v>
      </c>
      <c r="AG1317" s="97" t="e">
        <f t="shared" si="197"/>
        <v>#DIV/0!</v>
      </c>
      <c r="AH1317" s="97" t="e">
        <f t="shared" si="197"/>
        <v>#DIV/0!</v>
      </c>
      <c r="AI1317" s="97" t="e">
        <f t="shared" si="197"/>
        <v>#DIV/0!</v>
      </c>
      <c r="AJ1317" s="97" t="e">
        <f t="shared" si="197"/>
        <v>#DIV/0!</v>
      </c>
      <c r="AK1317" s="97" t="e">
        <f t="shared" si="197"/>
        <v>#DIV/0!</v>
      </c>
    </row>
    <row r="1318" spans="2:37" x14ac:dyDescent="0.25">
      <c r="E1318" s="9" t="s">
        <v>472</v>
      </c>
      <c r="F1318" s="9"/>
      <c r="G1318" s="9"/>
      <c r="H1318" s="9" t="s">
        <v>1514</v>
      </c>
      <c r="Q1318" s="97">
        <f>SUM(Q1344*Q1345,Q1346*Q1347,Q1348*Q1349)*Q1352+Q1356+Q1364+Q1368+Q1360</f>
        <v>6668.9551322314046</v>
      </c>
      <c r="R1318" s="97">
        <f t="shared" ref="R1318:AK1318" si="198">SUM(R1344*R1345,R1346*R1347,R1348*R1349)*R1352+R1356+R1364+R1368+R1360</f>
        <v>6490.8102033057858</v>
      </c>
      <c r="S1318" s="97">
        <f t="shared" si="198"/>
        <v>7122.9955539256198</v>
      </c>
      <c r="T1318" s="97">
        <f t="shared" si="198"/>
        <v>7598.012033057852</v>
      </c>
      <c r="U1318" s="97">
        <f t="shared" si="198"/>
        <v>8651.0472086776881</v>
      </c>
      <c r="V1318" s="97">
        <f t="shared" si="198"/>
        <v>8554.089679132232</v>
      </c>
      <c r="W1318" s="97">
        <f t="shared" si="198"/>
        <v>8876.2851855371919</v>
      </c>
      <c r="X1318" s="97">
        <f t="shared" si="198"/>
        <v>9219.5973671487591</v>
      </c>
      <c r="Y1318" s="97">
        <f t="shared" si="198"/>
        <v>9407.3951719008273</v>
      </c>
      <c r="Z1318" s="97">
        <f t="shared" si="198"/>
        <v>10042.887559710744</v>
      </c>
      <c r="AA1318" s="97">
        <f t="shared" si="198"/>
        <v>9073.6953733471091</v>
      </c>
      <c r="AB1318" s="97" t="e">
        <f t="shared" si="198"/>
        <v>#DIV/0!</v>
      </c>
      <c r="AC1318" s="97" t="e">
        <f t="shared" si="198"/>
        <v>#DIV/0!</v>
      </c>
      <c r="AD1318" s="97" t="e">
        <f t="shared" si="198"/>
        <v>#DIV/0!</v>
      </c>
      <c r="AE1318" s="97" t="e">
        <f t="shared" si="198"/>
        <v>#DIV/0!</v>
      </c>
      <c r="AF1318" s="97" t="e">
        <f t="shared" si="198"/>
        <v>#DIV/0!</v>
      </c>
      <c r="AG1318" s="97" t="e">
        <f t="shared" si="198"/>
        <v>#DIV/0!</v>
      </c>
      <c r="AH1318" s="97" t="e">
        <f t="shared" si="198"/>
        <v>#DIV/0!</v>
      </c>
      <c r="AI1318" s="97" t="e">
        <f t="shared" si="198"/>
        <v>#DIV/0!</v>
      </c>
      <c r="AJ1318" s="97" t="e">
        <f t="shared" si="198"/>
        <v>#DIV/0!</v>
      </c>
      <c r="AK1318" s="97" t="e">
        <f t="shared" si="198"/>
        <v>#DIV/0!</v>
      </c>
    </row>
    <row r="1319" spans="2:37" s="124" customFormat="1" x14ac:dyDescent="0.25">
      <c r="D1319" s="124" t="s">
        <v>464</v>
      </c>
      <c r="H1319" s="124" t="s">
        <v>1514</v>
      </c>
      <c r="Q1319" s="127">
        <f>SUM(Q1320:Q1324)</f>
        <v>35362.901231178614</v>
      </c>
      <c r="R1319" s="127">
        <f t="shared" ref="R1319:AK1319" si="199">SUM(R1320:R1324)</f>
        <v>34866.257007982145</v>
      </c>
      <c r="S1319" s="127">
        <f t="shared" si="199"/>
        <v>37006.042517572394</v>
      </c>
      <c r="T1319" s="127">
        <f t="shared" si="199"/>
        <v>36931.057128998626</v>
      </c>
      <c r="U1319" s="127">
        <f t="shared" si="199"/>
        <v>39195.451970317241</v>
      </c>
      <c r="V1319" s="127">
        <f t="shared" si="199"/>
        <v>40244.46739610919</v>
      </c>
      <c r="W1319" s="127">
        <f t="shared" si="199"/>
        <v>41679.009821500229</v>
      </c>
      <c r="X1319" s="127">
        <f t="shared" si="199"/>
        <v>42354.397781746862</v>
      </c>
      <c r="Y1319" s="127">
        <f t="shared" si="199"/>
        <v>42968.913413617141</v>
      </c>
      <c r="Z1319" s="127">
        <f t="shared" si="199"/>
        <v>43954.00899289982</v>
      </c>
      <c r="AA1319" s="127" t="e">
        <f t="shared" si="199"/>
        <v>#DIV/0!</v>
      </c>
      <c r="AB1319" s="127" t="e">
        <f t="shared" si="199"/>
        <v>#DIV/0!</v>
      </c>
      <c r="AC1319" s="127" t="e">
        <f t="shared" si="199"/>
        <v>#DIV/0!</v>
      </c>
      <c r="AD1319" s="127" t="e">
        <f t="shared" si="199"/>
        <v>#DIV/0!</v>
      </c>
      <c r="AE1319" s="127" t="e">
        <f t="shared" si="199"/>
        <v>#DIV/0!</v>
      </c>
      <c r="AF1319" s="127" t="e">
        <f t="shared" si="199"/>
        <v>#DIV/0!</v>
      </c>
      <c r="AG1319" s="127" t="e">
        <f t="shared" si="199"/>
        <v>#DIV/0!</v>
      </c>
      <c r="AH1319" s="127" t="e">
        <f t="shared" si="199"/>
        <v>#DIV/0!</v>
      </c>
      <c r="AI1319" s="127" t="e">
        <f t="shared" si="199"/>
        <v>#DIV/0!</v>
      </c>
      <c r="AJ1319" s="127" t="e">
        <f t="shared" si="199"/>
        <v>#DIV/0!</v>
      </c>
      <c r="AK1319" s="127" t="e">
        <f t="shared" si="199"/>
        <v>#DIV/0!</v>
      </c>
    </row>
    <row r="1320" spans="2:37" x14ac:dyDescent="0.25">
      <c r="E1320" s="9" t="s">
        <v>468</v>
      </c>
      <c r="H1320" t="s">
        <v>1514</v>
      </c>
      <c r="Q1320" s="97">
        <f>Q1327*(1-Q1328)</f>
        <v>19761.899999999998</v>
      </c>
      <c r="R1320" s="97">
        <f t="shared" ref="R1320:AK1320" si="200">R1327*(1-R1328)</f>
        <v>20055.45</v>
      </c>
      <c r="S1320" s="97">
        <f t="shared" si="200"/>
        <v>20259.7</v>
      </c>
      <c r="T1320" s="97">
        <f t="shared" si="200"/>
        <v>20496.25</v>
      </c>
      <c r="U1320" s="97">
        <f t="shared" si="200"/>
        <v>20858.2</v>
      </c>
      <c r="V1320" s="97">
        <f t="shared" si="200"/>
        <v>21195.45</v>
      </c>
      <c r="W1320" s="97">
        <f t="shared" si="200"/>
        <v>21491.85</v>
      </c>
      <c r="X1320" s="97">
        <f t="shared" si="200"/>
        <v>21776.85</v>
      </c>
      <c r="Y1320" s="97">
        <f t="shared" si="200"/>
        <v>21906.05</v>
      </c>
      <c r="Z1320" s="97">
        <f t="shared" si="200"/>
        <v>22275.547222222271</v>
      </c>
      <c r="AA1320" s="97">
        <f t="shared" si="200"/>
        <v>0</v>
      </c>
      <c r="AB1320" s="97">
        <f t="shared" si="200"/>
        <v>0</v>
      </c>
      <c r="AC1320" s="97">
        <f t="shared" si="200"/>
        <v>0</v>
      </c>
      <c r="AD1320" s="97">
        <f t="shared" si="200"/>
        <v>0</v>
      </c>
      <c r="AE1320" s="97">
        <f t="shared" si="200"/>
        <v>0</v>
      </c>
      <c r="AF1320" s="97">
        <f t="shared" si="200"/>
        <v>0</v>
      </c>
      <c r="AG1320" s="97">
        <f t="shared" si="200"/>
        <v>0</v>
      </c>
      <c r="AH1320" s="97">
        <f t="shared" si="200"/>
        <v>0</v>
      </c>
      <c r="AI1320" s="97">
        <f t="shared" si="200"/>
        <v>0</v>
      </c>
      <c r="AJ1320" s="97">
        <f t="shared" si="200"/>
        <v>0</v>
      </c>
      <c r="AK1320" s="97">
        <f t="shared" si="200"/>
        <v>0</v>
      </c>
    </row>
    <row r="1321" spans="2:37" x14ac:dyDescent="0.25">
      <c r="E1321" s="9" t="s">
        <v>469</v>
      </c>
      <c r="H1321" t="s">
        <v>1514</v>
      </c>
      <c r="Q1321" s="97">
        <f>Q1330*(1-Q1331)</f>
        <v>6329.0051132294293</v>
      </c>
      <c r="R1321" s="97">
        <f t="shared" ref="R1321:AK1321" si="201">R1330*(1-R1331)</f>
        <v>6678.9532785758483</v>
      </c>
      <c r="S1321" s="97">
        <f t="shared" si="201"/>
        <v>6646.6946183780838</v>
      </c>
      <c r="T1321" s="97">
        <f t="shared" si="201"/>
        <v>6929.5120229469521</v>
      </c>
      <c r="U1321" s="97">
        <f t="shared" si="201"/>
        <v>7054.237602132077</v>
      </c>
      <c r="V1321" s="97">
        <f t="shared" si="201"/>
        <v>7424.4889774916946</v>
      </c>
      <c r="W1321" s="97">
        <f t="shared" si="201"/>
        <v>7505.8564287124464</v>
      </c>
      <c r="X1321" s="97">
        <f t="shared" si="201"/>
        <v>7620.044860557613</v>
      </c>
      <c r="Y1321" s="97">
        <f t="shared" si="201"/>
        <v>7895.5049034469193</v>
      </c>
      <c r="Z1321" s="97">
        <f t="shared" si="201"/>
        <v>8307.9188904910825</v>
      </c>
      <c r="AA1321" s="97" t="e">
        <f t="shared" si="201"/>
        <v>#DIV/0!</v>
      </c>
      <c r="AB1321" s="97" t="e">
        <f t="shared" si="201"/>
        <v>#DIV/0!</v>
      </c>
      <c r="AC1321" s="97" t="e">
        <f t="shared" si="201"/>
        <v>#DIV/0!</v>
      </c>
      <c r="AD1321" s="97" t="e">
        <f t="shared" si="201"/>
        <v>#DIV/0!</v>
      </c>
      <c r="AE1321" s="97" t="e">
        <f t="shared" si="201"/>
        <v>#DIV/0!</v>
      </c>
      <c r="AF1321" s="97" t="e">
        <f t="shared" si="201"/>
        <v>#DIV/0!</v>
      </c>
      <c r="AG1321" s="97" t="e">
        <f t="shared" si="201"/>
        <v>#DIV/0!</v>
      </c>
      <c r="AH1321" s="97" t="e">
        <f t="shared" si="201"/>
        <v>#DIV/0!</v>
      </c>
      <c r="AI1321" s="97" t="e">
        <f t="shared" si="201"/>
        <v>#DIV/0!</v>
      </c>
      <c r="AJ1321" s="97" t="e">
        <f t="shared" si="201"/>
        <v>#DIV/0!</v>
      </c>
      <c r="AK1321" s="97" t="e">
        <f t="shared" si="201"/>
        <v>#DIV/0!</v>
      </c>
    </row>
    <row r="1322" spans="2:37" x14ac:dyDescent="0.25">
      <c r="E1322" s="9" t="s">
        <v>470</v>
      </c>
      <c r="H1322" t="s">
        <v>1514</v>
      </c>
      <c r="Q1322" s="97">
        <f>Q1333*Q1334*Q1335*Q1353</f>
        <v>1659.3395999999998</v>
      </c>
      <c r="R1322" s="97">
        <f t="shared" ref="R1322:AK1322" si="202">R1333*R1334*R1335*R1353</f>
        <v>1620.7837369750064</v>
      </c>
      <c r="S1322" s="97">
        <f t="shared" si="202"/>
        <v>1866.0683576397835</v>
      </c>
      <c r="T1322" s="97">
        <f t="shared" si="202"/>
        <v>1539.7757670703427</v>
      </c>
      <c r="U1322" s="97">
        <f t="shared" si="202"/>
        <v>1725.1389600618397</v>
      </c>
      <c r="V1322" s="97">
        <f t="shared" si="202"/>
        <v>1737.243917547024</v>
      </c>
      <c r="W1322" s="97">
        <f t="shared" si="202"/>
        <v>1802.107188868848</v>
      </c>
      <c r="X1322" s="97">
        <f t="shared" si="202"/>
        <v>1581.8053542901312</v>
      </c>
      <c r="Y1322" s="97">
        <f t="shared" si="202"/>
        <v>1464.9461506828134</v>
      </c>
      <c r="Z1322" s="97">
        <f t="shared" si="202"/>
        <v>1531.011735892811</v>
      </c>
      <c r="AA1322" s="97">
        <f t="shared" si="202"/>
        <v>0</v>
      </c>
      <c r="AB1322" s="97" t="e">
        <f t="shared" si="202"/>
        <v>#DIV/0!</v>
      </c>
      <c r="AC1322" s="97" t="e">
        <f t="shared" si="202"/>
        <v>#DIV/0!</v>
      </c>
      <c r="AD1322" s="97" t="e">
        <f t="shared" si="202"/>
        <v>#DIV/0!</v>
      </c>
      <c r="AE1322" s="97" t="e">
        <f t="shared" si="202"/>
        <v>#DIV/0!</v>
      </c>
      <c r="AF1322" s="97" t="e">
        <f t="shared" si="202"/>
        <v>#DIV/0!</v>
      </c>
      <c r="AG1322" s="97" t="e">
        <f t="shared" si="202"/>
        <v>#DIV/0!</v>
      </c>
      <c r="AH1322" s="97" t="e">
        <f t="shared" si="202"/>
        <v>#DIV/0!</v>
      </c>
      <c r="AI1322" s="97" t="e">
        <f t="shared" si="202"/>
        <v>#DIV/0!</v>
      </c>
      <c r="AJ1322" s="97" t="e">
        <f t="shared" si="202"/>
        <v>#DIV/0!</v>
      </c>
      <c r="AK1322" s="97" t="e">
        <f t="shared" si="202"/>
        <v>#DIV/0!</v>
      </c>
    </row>
    <row r="1323" spans="2:37" x14ac:dyDescent="0.25">
      <c r="E1323" s="9" t="s">
        <v>471</v>
      </c>
      <c r="H1323" t="s">
        <v>1514</v>
      </c>
      <c r="Q1323" s="97">
        <f>Q1340/(1-Q1341)/Q1342-Q1330</f>
        <v>3200.9228855721412</v>
      </c>
      <c r="R1323" s="97">
        <f t="shared" ref="R1323:AK1323" si="203">R1340/(1-R1341)/R1342-R1330</f>
        <v>2418.689054726372</v>
      </c>
      <c r="S1323" s="97">
        <f t="shared" si="203"/>
        <v>3563.4900497512463</v>
      </c>
      <c r="T1323" s="97">
        <f t="shared" si="203"/>
        <v>3953.5920398009985</v>
      </c>
      <c r="U1323" s="97">
        <f t="shared" si="203"/>
        <v>4595.5298507462721</v>
      </c>
      <c r="V1323" s="97">
        <f t="shared" si="203"/>
        <v>4610.7313432835836</v>
      </c>
      <c r="W1323" s="97">
        <f t="shared" si="203"/>
        <v>5232.017412935329</v>
      </c>
      <c r="X1323" s="97">
        <f t="shared" si="203"/>
        <v>5709.9054726368195</v>
      </c>
      <c r="Y1323" s="97">
        <f t="shared" si="203"/>
        <v>5946.6417910447817</v>
      </c>
      <c r="Z1323" s="97">
        <f t="shared" si="203"/>
        <v>5960.3113598674245</v>
      </c>
      <c r="AA1323" s="97" t="e">
        <f t="shared" si="203"/>
        <v>#DIV/0!</v>
      </c>
      <c r="AB1323" s="97" t="e">
        <f t="shared" si="203"/>
        <v>#DIV/0!</v>
      </c>
      <c r="AC1323" s="97" t="e">
        <f t="shared" si="203"/>
        <v>#DIV/0!</v>
      </c>
      <c r="AD1323" s="97" t="e">
        <f t="shared" si="203"/>
        <v>#DIV/0!</v>
      </c>
      <c r="AE1323" s="97" t="e">
        <f t="shared" si="203"/>
        <v>#DIV/0!</v>
      </c>
      <c r="AF1323" s="97" t="e">
        <f t="shared" si="203"/>
        <v>#DIV/0!</v>
      </c>
      <c r="AG1323" s="97" t="e">
        <f t="shared" si="203"/>
        <v>#DIV/0!</v>
      </c>
      <c r="AH1323" s="97" t="e">
        <f t="shared" si="203"/>
        <v>#DIV/0!</v>
      </c>
      <c r="AI1323" s="97" t="e">
        <f t="shared" si="203"/>
        <v>#DIV/0!</v>
      </c>
      <c r="AJ1323" s="97" t="e">
        <f t="shared" si="203"/>
        <v>#DIV/0!</v>
      </c>
      <c r="AK1323" s="97" t="e">
        <f t="shared" si="203"/>
        <v>#DIV/0!</v>
      </c>
    </row>
    <row r="1324" spans="2:37" x14ac:dyDescent="0.25">
      <c r="E1324" s="9" t="s">
        <v>472</v>
      </c>
      <c r="H1324" t="s">
        <v>1514</v>
      </c>
      <c r="Q1324" s="97">
        <f>SUM(Q1344*Q1345,Q1346*Q1347,Q1348*Q1349)*Q1353+Q1357+Q1365+Q1369+Q1361</f>
        <v>4411.7336323770487</v>
      </c>
      <c r="R1324" s="97">
        <f t="shared" ref="R1324:AK1324" si="204">SUM(R1344*R1345,R1346*R1347,R1348*R1349)*R1353+R1357+R1365+R1369+R1361</f>
        <v>4092.3809377049179</v>
      </c>
      <c r="S1324" s="97">
        <f t="shared" si="204"/>
        <v>4670.0894918032791</v>
      </c>
      <c r="T1324" s="97">
        <f t="shared" si="204"/>
        <v>4011.9272991803282</v>
      </c>
      <c r="U1324" s="97">
        <f t="shared" si="204"/>
        <v>4962.3455573770498</v>
      </c>
      <c r="V1324" s="97">
        <f t="shared" si="204"/>
        <v>5276.553157786886</v>
      </c>
      <c r="W1324" s="97">
        <f t="shared" si="204"/>
        <v>5647.1787909836066</v>
      </c>
      <c r="X1324" s="97">
        <f t="shared" si="204"/>
        <v>5665.792094262295</v>
      </c>
      <c r="Y1324" s="97">
        <f t="shared" si="204"/>
        <v>5755.7705684426228</v>
      </c>
      <c r="Z1324" s="97">
        <f t="shared" si="204"/>
        <v>5879.21978442623</v>
      </c>
      <c r="AA1324" s="97">
        <f t="shared" si="204"/>
        <v>4298.6021049180335</v>
      </c>
      <c r="AB1324" s="97" t="e">
        <f t="shared" si="204"/>
        <v>#DIV/0!</v>
      </c>
      <c r="AC1324" s="97" t="e">
        <f t="shared" si="204"/>
        <v>#DIV/0!</v>
      </c>
      <c r="AD1324" s="97" t="e">
        <f t="shared" si="204"/>
        <v>#DIV/0!</v>
      </c>
      <c r="AE1324" s="97" t="e">
        <f t="shared" si="204"/>
        <v>#DIV/0!</v>
      </c>
      <c r="AF1324" s="97" t="e">
        <f t="shared" si="204"/>
        <v>#DIV/0!</v>
      </c>
      <c r="AG1324" s="97" t="e">
        <f t="shared" si="204"/>
        <v>#DIV/0!</v>
      </c>
      <c r="AH1324" s="97" t="e">
        <f t="shared" si="204"/>
        <v>#DIV/0!</v>
      </c>
      <c r="AI1324" s="97" t="e">
        <f t="shared" si="204"/>
        <v>#DIV/0!</v>
      </c>
      <c r="AJ1324" s="97" t="e">
        <f t="shared" si="204"/>
        <v>#DIV/0!</v>
      </c>
      <c r="AK1324" s="97" t="e">
        <f t="shared" si="204"/>
        <v>#DIV/0!</v>
      </c>
    </row>
    <row r="1325" spans="2:37" x14ac:dyDescent="0.25">
      <c r="D1325" t="s">
        <v>492</v>
      </c>
      <c r="E1325" s="9"/>
    </row>
    <row r="1326" spans="2:37" x14ac:dyDescent="0.25">
      <c r="E1326" s="9" t="s">
        <v>468</v>
      </c>
    </row>
    <row r="1327" spans="2:37" x14ac:dyDescent="0.25">
      <c r="E1327" s="9"/>
      <c r="F1327" t="s">
        <v>479</v>
      </c>
      <c r="H1327" t="s">
        <v>1514</v>
      </c>
      <c r="Q1327" s="59">
        <f>Datasheet!Q609</f>
        <v>20802</v>
      </c>
      <c r="R1327" s="59">
        <f>Datasheet!R609</f>
        <v>21111</v>
      </c>
      <c r="S1327" s="59">
        <f>Datasheet!S609</f>
        <v>21326</v>
      </c>
      <c r="T1327" s="59">
        <f>Datasheet!T609</f>
        <v>21575</v>
      </c>
      <c r="U1327" s="59">
        <f>Datasheet!U609</f>
        <v>21956</v>
      </c>
      <c r="V1327" s="59">
        <f>Datasheet!V609</f>
        <v>22311</v>
      </c>
      <c r="W1327" s="59">
        <f>Datasheet!W609</f>
        <v>22623</v>
      </c>
      <c r="X1327" s="59">
        <f>Datasheet!X609</f>
        <v>22923</v>
      </c>
      <c r="Y1327" s="59">
        <f>Datasheet!Y609</f>
        <v>23059</v>
      </c>
      <c r="Z1327" s="59">
        <f>_xlfn.FORECAST.LINEAR(Z2,Q1327:Y1327,Q2:Y2)</f>
        <v>23447.944444444496</v>
      </c>
      <c r="AA1327" s="59">
        <f>Datasheet!AA609</f>
        <v>0</v>
      </c>
      <c r="AB1327" s="59">
        <f>Datasheet!AB609</f>
        <v>0</v>
      </c>
      <c r="AC1327" s="59">
        <f>Datasheet!AC609</f>
        <v>0</v>
      </c>
      <c r="AD1327" s="59">
        <f>Datasheet!AD609</f>
        <v>0</v>
      </c>
      <c r="AE1327" s="59">
        <f>Datasheet!AE609</f>
        <v>0</v>
      </c>
      <c r="AF1327" s="59">
        <f>Datasheet!AF609</f>
        <v>0</v>
      </c>
      <c r="AG1327" s="59">
        <f>Datasheet!AG609</f>
        <v>0</v>
      </c>
      <c r="AH1327" s="59">
        <f>Datasheet!AH609</f>
        <v>0</v>
      </c>
      <c r="AI1327" s="59">
        <f>Datasheet!AI609</f>
        <v>0</v>
      </c>
      <c r="AJ1327" s="59">
        <f>Datasheet!AJ609</f>
        <v>0</v>
      </c>
      <c r="AK1327" s="59">
        <f>Datasheet!AK609</f>
        <v>0</v>
      </c>
    </row>
    <row r="1328" spans="2:37" x14ac:dyDescent="0.25">
      <c r="E1328" s="202"/>
      <c r="F1328" s="9" t="s">
        <v>474</v>
      </c>
      <c r="I1328" s="165" t="s">
        <v>693</v>
      </c>
      <c r="Q1328" s="118">
        <v>0.05</v>
      </c>
      <c r="R1328" s="118">
        <v>0.05</v>
      </c>
      <c r="S1328" s="118">
        <v>0.05</v>
      </c>
      <c r="T1328" s="118">
        <v>0.05</v>
      </c>
      <c r="U1328" s="118">
        <v>0.05</v>
      </c>
      <c r="V1328" s="118">
        <v>0.05</v>
      </c>
      <c r="W1328" s="118">
        <v>0.05</v>
      </c>
      <c r="X1328" s="118">
        <v>0.05</v>
      </c>
      <c r="Y1328" s="118">
        <v>0.05</v>
      </c>
      <c r="Z1328" s="118">
        <v>0.05</v>
      </c>
      <c r="AA1328" s="118">
        <v>0.05</v>
      </c>
      <c r="AB1328" s="118">
        <v>0.05</v>
      </c>
      <c r="AC1328" s="118">
        <v>0.05</v>
      </c>
      <c r="AD1328" s="118">
        <v>0.05</v>
      </c>
      <c r="AE1328" s="118">
        <v>0.05</v>
      </c>
      <c r="AF1328" s="118">
        <v>0.05</v>
      </c>
      <c r="AG1328" s="118">
        <v>0.05</v>
      </c>
      <c r="AH1328" s="118">
        <v>0.05</v>
      </c>
      <c r="AI1328" s="118">
        <v>0.05</v>
      </c>
      <c r="AJ1328" s="118">
        <v>0.05</v>
      </c>
      <c r="AK1328" s="118">
        <v>0.05</v>
      </c>
    </row>
    <row r="1329" spans="5:37" x14ac:dyDescent="0.25">
      <c r="E1329" s="9" t="s">
        <v>469</v>
      </c>
    </row>
    <row r="1330" spans="5:37" x14ac:dyDescent="0.25">
      <c r="E1330" s="9"/>
      <c r="F1330" t="s">
        <v>478</v>
      </c>
      <c r="H1330" t="s">
        <v>1514</v>
      </c>
      <c r="I1330" s="165" t="s">
        <v>692</v>
      </c>
      <c r="Q1330" s="59">
        <f>Datasheet!Q590</f>
        <v>15652</v>
      </c>
      <c r="R1330" s="59">
        <f>Datasheet!R590</f>
        <v>16331</v>
      </c>
      <c r="S1330" s="59">
        <f>Datasheet!S590</f>
        <v>16101</v>
      </c>
      <c r="T1330" s="59">
        <f>Datasheet!T590</f>
        <v>16478</v>
      </c>
      <c r="U1330" s="59">
        <f>Datasheet!U590</f>
        <v>16536</v>
      </c>
      <c r="V1330" s="59">
        <f>Datasheet!V590</f>
        <v>17393</v>
      </c>
      <c r="W1330" s="59">
        <f>Datasheet!W590</f>
        <v>17527</v>
      </c>
      <c r="X1330" s="59">
        <f>Datasheet!X590</f>
        <v>17759</v>
      </c>
      <c r="Y1330" s="59">
        <f>Datasheet!Y590</f>
        <v>17725</v>
      </c>
      <c r="Z1330" s="59">
        <f>_xlfn.FORECAST.LINEAR(Z2,Q1330:Y1330,Q2:Y2)</f>
        <v>18195.472222222132</v>
      </c>
      <c r="AA1330" s="59">
        <f>Datasheet!AA590</f>
        <v>0</v>
      </c>
      <c r="AB1330" s="59">
        <f>Datasheet!AB590</f>
        <v>0</v>
      </c>
      <c r="AC1330" s="59">
        <f>Datasheet!AC590</f>
        <v>0</v>
      </c>
      <c r="AD1330" s="59">
        <f>Datasheet!AD590</f>
        <v>0</v>
      </c>
      <c r="AE1330" s="59">
        <f>Datasheet!AE590</f>
        <v>0</v>
      </c>
      <c r="AF1330" s="59">
        <f>Datasheet!AF590</f>
        <v>0</v>
      </c>
      <c r="AG1330" s="59">
        <f>Datasheet!AG590</f>
        <v>0</v>
      </c>
      <c r="AH1330" s="59">
        <f>Datasheet!AH590</f>
        <v>0</v>
      </c>
      <c r="AI1330" s="59">
        <f>Datasheet!AI590</f>
        <v>0</v>
      </c>
      <c r="AJ1330" s="59">
        <f>Datasheet!AJ590</f>
        <v>0</v>
      </c>
      <c r="AK1330" s="59">
        <f>Datasheet!AK590</f>
        <v>0</v>
      </c>
    </row>
    <row r="1331" spans="5:37" x14ac:dyDescent="0.25">
      <c r="E1331" s="9"/>
      <c r="F1331" t="s">
        <v>480</v>
      </c>
      <c r="I1331" s="165" t="s">
        <v>691</v>
      </c>
      <c r="Q1331" s="123">
        <f>Q1409</f>
        <v>0.59564240268148294</v>
      </c>
      <c r="R1331" s="123">
        <f t="shared" ref="R1331:AK1331" si="205">R1409</f>
        <v>0.59102606830103188</v>
      </c>
      <c r="S1331" s="123">
        <f t="shared" si="205"/>
        <v>0.58718746547555534</v>
      </c>
      <c r="T1331" s="123">
        <f t="shared" si="205"/>
        <v>0.57946886618843596</v>
      </c>
      <c r="U1331" s="123">
        <f t="shared" si="205"/>
        <v>0.5734012093534061</v>
      </c>
      <c r="V1331" s="123">
        <f t="shared" si="205"/>
        <v>0.573133503277658</v>
      </c>
      <c r="W1331" s="123">
        <f t="shared" si="205"/>
        <v>0.57175463977221164</v>
      </c>
      <c r="X1331" s="123">
        <f t="shared" si="205"/>
        <v>0.57091926006207483</v>
      </c>
      <c r="Y1331" s="123">
        <f t="shared" si="205"/>
        <v>0.55455543563063925</v>
      </c>
      <c r="Z1331" s="123">
        <f t="shared" si="205"/>
        <v>0.54340734942044422</v>
      </c>
      <c r="AA1331" s="123" t="e">
        <f t="shared" si="205"/>
        <v>#DIV/0!</v>
      </c>
      <c r="AB1331" s="123" t="e">
        <f t="shared" si="205"/>
        <v>#DIV/0!</v>
      </c>
      <c r="AC1331" s="123" t="e">
        <f t="shared" si="205"/>
        <v>#DIV/0!</v>
      </c>
      <c r="AD1331" s="123" t="e">
        <f t="shared" si="205"/>
        <v>#DIV/0!</v>
      </c>
      <c r="AE1331" s="123" t="e">
        <f t="shared" si="205"/>
        <v>#DIV/0!</v>
      </c>
      <c r="AF1331" s="123" t="e">
        <f t="shared" si="205"/>
        <v>#DIV/0!</v>
      </c>
      <c r="AG1331" s="123" t="e">
        <f t="shared" si="205"/>
        <v>#DIV/0!</v>
      </c>
      <c r="AH1331" s="123" t="e">
        <f t="shared" si="205"/>
        <v>#DIV/0!</v>
      </c>
      <c r="AI1331" s="123" t="e">
        <f t="shared" si="205"/>
        <v>#DIV/0!</v>
      </c>
      <c r="AJ1331" s="123" t="e">
        <f t="shared" si="205"/>
        <v>#DIV/0!</v>
      </c>
      <c r="AK1331" s="123" t="e">
        <f t="shared" si="205"/>
        <v>#DIV/0!</v>
      </c>
    </row>
    <row r="1332" spans="5:37" x14ac:dyDescent="0.25">
      <c r="E1332" s="9" t="s">
        <v>470</v>
      </c>
    </row>
    <row r="1333" spans="5:37" x14ac:dyDescent="0.25">
      <c r="E1333" s="9"/>
      <c r="F1333" t="s">
        <v>481</v>
      </c>
      <c r="H1333" t="s">
        <v>1015</v>
      </c>
      <c r="Q1333" s="59">
        <f>Datasheet!Q665</f>
        <v>3881</v>
      </c>
      <c r="R1333" s="59">
        <f>Datasheet!R665</f>
        <v>4092</v>
      </c>
      <c r="S1333" s="59">
        <f>Datasheet!S665</f>
        <v>4118</v>
      </c>
      <c r="T1333" s="59">
        <f>Datasheet!T665</f>
        <v>3946</v>
      </c>
      <c r="U1333" s="59">
        <f>Datasheet!U665</f>
        <v>3807</v>
      </c>
      <c r="V1333" s="59">
        <f>Datasheet!V665</f>
        <v>3554</v>
      </c>
      <c r="W1333" s="59">
        <f>Datasheet!W665</f>
        <v>3436</v>
      </c>
      <c r="X1333" s="59">
        <f>Datasheet!X665</f>
        <v>3065</v>
      </c>
      <c r="Y1333" s="59">
        <f>Datasheet!Y665</f>
        <v>2747</v>
      </c>
      <c r="Z1333" s="59">
        <f>_xlfn.FORECAST.LINEAR(Z2,Q1333:Y1333,Q2:Y2)</f>
        <v>2846.25</v>
      </c>
      <c r="AA1333" s="59">
        <f>Datasheet!AA665</f>
        <v>0</v>
      </c>
      <c r="AB1333" s="59">
        <f>Datasheet!AB665</f>
        <v>0</v>
      </c>
      <c r="AC1333" s="59">
        <f>Datasheet!AC665</f>
        <v>0</v>
      </c>
      <c r="AD1333" s="59">
        <f>Datasheet!AD665</f>
        <v>0</v>
      </c>
      <c r="AE1333" s="59">
        <f>Datasheet!AE665</f>
        <v>0</v>
      </c>
      <c r="AF1333" s="59">
        <f>Datasheet!AF665</f>
        <v>0</v>
      </c>
      <c r="AG1333" s="59">
        <f>Datasheet!AG665</f>
        <v>0</v>
      </c>
      <c r="AH1333" s="59">
        <f>Datasheet!AH665</f>
        <v>0</v>
      </c>
      <c r="AI1333" s="59">
        <f>Datasheet!AI665</f>
        <v>0</v>
      </c>
      <c r="AJ1333" s="59">
        <f>Datasheet!AJ665</f>
        <v>0</v>
      </c>
      <c r="AK1333" s="59">
        <f>Datasheet!AK665</f>
        <v>0</v>
      </c>
    </row>
    <row r="1334" spans="5:37" x14ac:dyDescent="0.25">
      <c r="F1334" t="s">
        <v>475</v>
      </c>
      <c r="I1334" s="165" t="s">
        <v>690</v>
      </c>
      <c r="Q1334">
        <f>2832/3881</f>
        <v>0.72970883792836894</v>
      </c>
      <c r="R1334">
        <f t="shared" ref="R1334:AK1334" si="206">2832/3881</f>
        <v>0.72970883792836894</v>
      </c>
      <c r="S1334">
        <f t="shared" si="206"/>
        <v>0.72970883792836894</v>
      </c>
      <c r="T1334">
        <f t="shared" si="206"/>
        <v>0.72970883792836894</v>
      </c>
      <c r="U1334">
        <f t="shared" si="206"/>
        <v>0.72970883792836894</v>
      </c>
      <c r="V1334">
        <f t="shared" si="206"/>
        <v>0.72970883792836894</v>
      </c>
      <c r="W1334">
        <f t="shared" si="206"/>
        <v>0.72970883792836894</v>
      </c>
      <c r="X1334">
        <f t="shared" si="206"/>
        <v>0.72970883792836894</v>
      </c>
      <c r="Y1334">
        <f t="shared" si="206"/>
        <v>0.72970883792836894</v>
      </c>
      <c r="Z1334">
        <f t="shared" si="206"/>
        <v>0.72970883792836894</v>
      </c>
      <c r="AA1334">
        <f t="shared" si="206"/>
        <v>0.72970883792836894</v>
      </c>
      <c r="AB1334">
        <f t="shared" si="206"/>
        <v>0.72970883792836894</v>
      </c>
      <c r="AC1334">
        <f t="shared" si="206"/>
        <v>0.72970883792836894</v>
      </c>
      <c r="AD1334">
        <f t="shared" si="206"/>
        <v>0.72970883792836894</v>
      </c>
      <c r="AE1334">
        <f t="shared" si="206"/>
        <v>0.72970883792836894</v>
      </c>
      <c r="AF1334">
        <f t="shared" si="206"/>
        <v>0.72970883792836894</v>
      </c>
      <c r="AG1334">
        <f t="shared" si="206"/>
        <v>0.72970883792836894</v>
      </c>
      <c r="AH1334">
        <f t="shared" si="206"/>
        <v>0.72970883792836894</v>
      </c>
      <c r="AI1334">
        <f t="shared" si="206"/>
        <v>0.72970883792836894</v>
      </c>
      <c r="AJ1334">
        <f t="shared" si="206"/>
        <v>0.72970883792836894</v>
      </c>
      <c r="AK1334">
        <f t="shared" si="206"/>
        <v>0.72970883792836894</v>
      </c>
    </row>
    <row r="1335" spans="5:37" x14ac:dyDescent="0.25">
      <c r="F1335" t="s">
        <v>9</v>
      </c>
      <c r="H1335" t="s">
        <v>1527</v>
      </c>
      <c r="I1335" s="165" t="s">
        <v>1627</v>
      </c>
      <c r="Q1335">
        <v>2.2999999999999998</v>
      </c>
      <c r="R1335">
        <v>2.2999999999999998</v>
      </c>
      <c r="S1335">
        <v>2.2999999999999998</v>
      </c>
      <c r="T1335">
        <v>2.2999999999999998</v>
      </c>
      <c r="U1335">
        <v>2.2999999999999998</v>
      </c>
      <c r="V1335">
        <v>2.2999999999999998</v>
      </c>
      <c r="W1335">
        <v>2.2999999999999998</v>
      </c>
      <c r="X1335">
        <v>2.2999999999999998</v>
      </c>
      <c r="Y1335">
        <v>2.2999999999999998</v>
      </c>
      <c r="Z1335">
        <v>2.2999999999999998</v>
      </c>
      <c r="AA1335">
        <v>2.2999999999999998</v>
      </c>
      <c r="AB1335">
        <v>2.2999999999999998</v>
      </c>
      <c r="AC1335">
        <v>2.2999999999999998</v>
      </c>
      <c r="AD1335">
        <v>2.2999999999999998</v>
      </c>
      <c r="AE1335">
        <v>2.2999999999999998</v>
      </c>
      <c r="AF1335">
        <v>2.2999999999999998</v>
      </c>
      <c r="AG1335">
        <v>2.2999999999999998</v>
      </c>
      <c r="AH1335">
        <v>2.2999999999999998</v>
      </c>
      <c r="AI1335">
        <v>2.2999999999999998</v>
      </c>
      <c r="AJ1335">
        <v>2.2999999999999998</v>
      </c>
      <c r="AK1335">
        <v>2.2999999999999998</v>
      </c>
    </row>
    <row r="1336" spans="5:37" x14ac:dyDescent="0.25">
      <c r="E1336" s="9" t="s">
        <v>471</v>
      </c>
      <c r="I1336" s="165" t="s">
        <v>695</v>
      </c>
    </row>
    <row r="1337" spans="5:37" x14ac:dyDescent="0.25">
      <c r="E1337" s="9"/>
      <c r="F1337" t="s">
        <v>482</v>
      </c>
    </row>
    <row r="1338" spans="5:37" x14ac:dyDescent="0.25">
      <c r="E1338" s="9"/>
      <c r="G1338" t="s">
        <v>462</v>
      </c>
      <c r="H1338" t="s">
        <v>1118</v>
      </c>
      <c r="Q1338" s="59">
        <f>AVERAGE(Datasheet!Q375:Q378)</f>
        <v>19694.25</v>
      </c>
      <c r="R1338" s="59">
        <f>AVERAGE(Datasheet!R375:R378)</f>
        <v>19808</v>
      </c>
      <c r="S1338" s="59">
        <f>AVERAGE(Datasheet!S375:S378)</f>
        <v>20122</v>
      </c>
      <c r="T1338" s="59">
        <f>AVERAGE(Datasheet!T375:T378)</f>
        <v>21003.25</v>
      </c>
      <c r="U1338" s="59">
        <f>AVERAGE(Datasheet!U375:U378)</f>
        <v>21839.5</v>
      </c>
      <c r="V1338" s="59">
        <f>AVERAGE(Datasheet!V375:V378)</f>
        <v>22471.25</v>
      </c>
      <c r="W1338" s="59">
        <f>AVERAGE(Datasheet!W375:W378)</f>
        <v>23418.25</v>
      </c>
      <c r="X1338" s="59">
        <f>AVERAGE(Datasheet!X375:X378)</f>
        <v>23979.75</v>
      </c>
      <c r="Y1338" s="59">
        <f>AVERAGE(Datasheet!Y375:Y378)</f>
        <v>24084.25</v>
      </c>
      <c r="Z1338" s="59">
        <f>AVERAGE(Datasheet!Z375:Z378)</f>
        <v>24446.5</v>
      </c>
      <c r="AA1338" s="59" t="e">
        <f>AVERAGE(Datasheet!AA375:AA378)</f>
        <v>#DIV/0!</v>
      </c>
      <c r="AB1338" s="59" t="e">
        <f>AVERAGE(Datasheet!AB375:AB378)</f>
        <v>#DIV/0!</v>
      </c>
      <c r="AC1338" s="59" t="e">
        <f>AVERAGE(Datasheet!AC375:AC378)</f>
        <v>#DIV/0!</v>
      </c>
      <c r="AD1338" s="59" t="e">
        <f>AVERAGE(Datasheet!AD375:AD378)</f>
        <v>#DIV/0!</v>
      </c>
      <c r="AE1338" s="59" t="e">
        <f>AVERAGE(Datasheet!AE375:AE378)</f>
        <v>#DIV/0!</v>
      </c>
      <c r="AF1338" s="59" t="e">
        <f>AVERAGE(Datasheet!AF375:AF378)</f>
        <v>#DIV/0!</v>
      </c>
      <c r="AG1338" s="59" t="e">
        <f>AVERAGE(Datasheet!AG375:AG378)</f>
        <v>#DIV/0!</v>
      </c>
      <c r="AH1338" s="59" t="e">
        <f>AVERAGE(Datasheet!AH375:AH378)</f>
        <v>#DIV/0!</v>
      </c>
      <c r="AI1338" s="59" t="e">
        <f>AVERAGE(Datasheet!AI375:AI378)</f>
        <v>#DIV/0!</v>
      </c>
      <c r="AJ1338" s="59" t="e">
        <f>AVERAGE(Datasheet!AJ375:AJ378)</f>
        <v>#DIV/0!</v>
      </c>
      <c r="AK1338" s="59" t="e">
        <f>AVERAGE(Datasheet!AK375:AK378)</f>
        <v>#DIV/0!</v>
      </c>
    </row>
    <row r="1339" spans="5:37" x14ac:dyDescent="0.25">
      <c r="E1339" s="9"/>
      <c r="G1339" t="s">
        <v>463</v>
      </c>
      <c r="H1339" t="s">
        <v>1118</v>
      </c>
      <c r="Q1339" s="59">
        <f>AVERAGE(Datasheet!Q370:Q372,Datasheet!Q381)</f>
        <v>15960.75</v>
      </c>
      <c r="R1339" s="59">
        <f>AVERAGE(Datasheet!R370:R372,Datasheet!R381)</f>
        <v>15953.75</v>
      </c>
      <c r="S1339" s="59">
        <f>AVERAGE(Datasheet!S370:S372,Datasheet!S381)</f>
        <v>16323.75</v>
      </c>
      <c r="T1339" s="59">
        <f>AVERAGE(Datasheet!T370:T372,Datasheet!T381)</f>
        <v>16890.25</v>
      </c>
      <c r="U1339" s="59">
        <f>AVERAGE(Datasheet!U370:U372,Datasheet!U381)</f>
        <v>17677.5</v>
      </c>
      <c r="V1339" s="59">
        <f>AVERAGE(Datasheet!V370:V372,Datasheet!V381)</f>
        <v>18327.5</v>
      </c>
      <c r="W1339" s="59">
        <f>AVERAGE(Datasheet!W370:W372,Datasheet!W381)</f>
        <v>18979.5</v>
      </c>
      <c r="X1339" s="59">
        <f>AVERAGE(Datasheet!X370:X372,Datasheet!X381)</f>
        <v>19502</v>
      </c>
      <c r="Y1339" s="59">
        <f>AVERAGE(Datasheet!Y370:Y372,Datasheet!Y381)</f>
        <v>19761.5</v>
      </c>
      <c r="Z1339" s="59">
        <f>AVERAGE(Datasheet!Z370:Z372,Datasheet!Z381)</f>
        <v>20419.5</v>
      </c>
      <c r="AA1339" s="59" t="e">
        <f>AVERAGE(Datasheet!AA370:AA372,Datasheet!AA381)</f>
        <v>#DIV/0!</v>
      </c>
      <c r="AB1339" s="59" t="e">
        <f>AVERAGE(Datasheet!AB370:AB372,Datasheet!AB381)</f>
        <v>#DIV/0!</v>
      </c>
      <c r="AC1339" s="59" t="e">
        <f>AVERAGE(Datasheet!AC370:AC372,Datasheet!AC381)</f>
        <v>#DIV/0!</v>
      </c>
      <c r="AD1339" s="59" t="e">
        <f>AVERAGE(Datasheet!AD370:AD372,Datasheet!AD381)</f>
        <v>#DIV/0!</v>
      </c>
      <c r="AE1339" s="59" t="e">
        <f>AVERAGE(Datasheet!AE370:AE372,Datasheet!AE381)</f>
        <v>#DIV/0!</v>
      </c>
      <c r="AF1339" s="59" t="e">
        <f>AVERAGE(Datasheet!AF370:AF372,Datasheet!AF381)</f>
        <v>#DIV/0!</v>
      </c>
      <c r="AG1339" s="59" t="e">
        <f>AVERAGE(Datasheet!AG370:AG372,Datasheet!AG381)</f>
        <v>#DIV/0!</v>
      </c>
      <c r="AH1339" s="59" t="e">
        <f>AVERAGE(Datasheet!AH370:AH372,Datasheet!AH381)</f>
        <v>#DIV/0!</v>
      </c>
      <c r="AI1339" s="59" t="e">
        <f>AVERAGE(Datasheet!AI370:AI372,Datasheet!AI381)</f>
        <v>#DIV/0!</v>
      </c>
      <c r="AJ1339" s="59" t="e">
        <f>AVERAGE(Datasheet!AJ370:AJ372,Datasheet!AJ381)</f>
        <v>#DIV/0!</v>
      </c>
      <c r="AK1339" s="59" t="e">
        <f>AVERAGE(Datasheet!AK370:AK372,Datasheet!AK381)</f>
        <v>#DIV/0!</v>
      </c>
    </row>
    <row r="1340" spans="5:37" x14ac:dyDescent="0.25">
      <c r="E1340" s="9"/>
      <c r="G1340" t="s">
        <v>464</v>
      </c>
      <c r="H1340" t="s">
        <v>1118</v>
      </c>
      <c r="Q1340" s="59">
        <f>AVERAGE(Datasheet!Q373:Q374,Datasheet!Q379:Q380)</f>
        <v>15157.75</v>
      </c>
      <c r="R1340" s="59">
        <f>AVERAGE(Datasheet!R373:R374,Datasheet!R379:R380)</f>
        <v>15074.75</v>
      </c>
      <c r="S1340" s="59">
        <f>AVERAGE(Datasheet!S373:S374,Datasheet!S379:S380)</f>
        <v>15810.25</v>
      </c>
      <c r="T1340" s="59">
        <f>AVERAGE(Datasheet!T373:T374,Datasheet!T379:T380)</f>
        <v>16427</v>
      </c>
      <c r="U1340" s="59">
        <f>AVERAGE(Datasheet!U373:U374,Datasheet!U379:U380)</f>
        <v>16989.75</v>
      </c>
      <c r="V1340" s="59">
        <f>AVERAGE(Datasheet!V373:V374,Datasheet!V379:V380)</f>
        <v>17691</v>
      </c>
      <c r="W1340" s="59">
        <f>AVERAGE(Datasheet!W373:W374,Datasheet!W379:W380)</f>
        <v>18298.25</v>
      </c>
      <c r="X1340" s="59">
        <f>AVERAGE(Datasheet!X373:X374,Datasheet!X379:X380)</f>
        <v>18869</v>
      </c>
      <c r="Y1340" s="59">
        <f>AVERAGE(Datasheet!Y373:Y374,Datasheet!Y379:Y380)</f>
        <v>19032</v>
      </c>
      <c r="Z1340" s="59">
        <f>AVERAGE(Datasheet!Z373:Z374,Datasheet!Z379:Z380)</f>
        <v>19421.25</v>
      </c>
      <c r="AA1340" s="59" t="e">
        <f>AVERAGE(Datasheet!AA373:AA374,Datasheet!AA379:AA380)</f>
        <v>#DIV/0!</v>
      </c>
      <c r="AB1340" s="59" t="e">
        <f>AVERAGE(Datasheet!AB373:AB374,Datasheet!AB379:AB380)</f>
        <v>#DIV/0!</v>
      </c>
      <c r="AC1340" s="59" t="e">
        <f>AVERAGE(Datasheet!AC373:AC374,Datasheet!AC379:AC380)</f>
        <v>#DIV/0!</v>
      </c>
      <c r="AD1340" s="59" t="e">
        <f>AVERAGE(Datasheet!AD373:AD374,Datasheet!AD379:AD380)</f>
        <v>#DIV/0!</v>
      </c>
      <c r="AE1340" s="59" t="e">
        <f>AVERAGE(Datasheet!AE373:AE374,Datasheet!AE379:AE380)</f>
        <v>#DIV/0!</v>
      </c>
      <c r="AF1340" s="59" t="e">
        <f>AVERAGE(Datasheet!AF373:AF374,Datasheet!AF379:AF380)</f>
        <v>#DIV/0!</v>
      </c>
      <c r="AG1340" s="59" t="e">
        <f>AVERAGE(Datasheet!AG373:AG374,Datasheet!AG379:AG380)</f>
        <v>#DIV/0!</v>
      </c>
      <c r="AH1340" s="59" t="e">
        <f>AVERAGE(Datasheet!AH373:AH374,Datasheet!AH379:AH380)</f>
        <v>#DIV/0!</v>
      </c>
      <c r="AI1340" s="59" t="e">
        <f>AVERAGE(Datasheet!AI373:AI374,Datasheet!AI379:AI380)</f>
        <v>#DIV/0!</v>
      </c>
      <c r="AJ1340" s="59" t="e">
        <f>AVERAGE(Datasheet!AJ373:AJ374,Datasheet!AJ379:AJ380)</f>
        <v>#DIV/0!</v>
      </c>
      <c r="AK1340" s="59" t="e">
        <f>AVERAGE(Datasheet!AK373:AK374,Datasheet!AK379:AK380)</f>
        <v>#DIV/0!</v>
      </c>
    </row>
    <row r="1341" spans="5:37" x14ac:dyDescent="0.25">
      <c r="E1341" s="270"/>
      <c r="F1341" t="s">
        <v>476</v>
      </c>
      <c r="I1341" s="165" t="s">
        <v>694</v>
      </c>
      <c r="Q1341" s="118">
        <v>0.33</v>
      </c>
      <c r="R1341" s="118">
        <v>0.33</v>
      </c>
      <c r="S1341" s="118">
        <v>0.33</v>
      </c>
      <c r="T1341" s="118">
        <v>0.33</v>
      </c>
      <c r="U1341" s="118">
        <v>0.33</v>
      </c>
      <c r="V1341" s="118">
        <v>0.33</v>
      </c>
      <c r="W1341" s="118">
        <v>0.33</v>
      </c>
      <c r="X1341" s="118">
        <v>0.33</v>
      </c>
      <c r="Y1341" s="118">
        <v>0.33</v>
      </c>
      <c r="Z1341" s="118">
        <v>0.33</v>
      </c>
      <c r="AA1341" s="118">
        <v>0.33</v>
      </c>
      <c r="AB1341" s="118">
        <v>0.33</v>
      </c>
      <c r="AC1341" s="118">
        <v>0.33</v>
      </c>
      <c r="AD1341" s="118">
        <v>0.33</v>
      </c>
      <c r="AE1341" s="118">
        <v>0.33</v>
      </c>
      <c r="AF1341" s="118">
        <v>0.33</v>
      </c>
      <c r="AG1341" s="118">
        <v>0.33</v>
      </c>
      <c r="AH1341" s="118">
        <v>0.33</v>
      </c>
      <c r="AI1341" s="118">
        <v>0.33</v>
      </c>
      <c r="AJ1341" s="118">
        <v>0.33</v>
      </c>
      <c r="AK1341" s="118">
        <v>0.33</v>
      </c>
    </row>
    <row r="1342" spans="5:37" x14ac:dyDescent="0.25">
      <c r="E1342" s="270"/>
      <c r="F1342" t="s">
        <v>477</v>
      </c>
      <c r="H1342" t="s">
        <v>1245</v>
      </c>
      <c r="I1342" s="165" t="s">
        <v>1628</v>
      </c>
      <c r="Q1342">
        <v>1.2</v>
      </c>
      <c r="R1342">
        <v>1.2</v>
      </c>
      <c r="S1342">
        <v>1.2</v>
      </c>
      <c r="T1342">
        <v>1.2</v>
      </c>
      <c r="U1342">
        <v>1.2</v>
      </c>
      <c r="V1342">
        <v>1.2</v>
      </c>
      <c r="W1342">
        <v>1.2</v>
      </c>
      <c r="X1342">
        <v>1.2</v>
      </c>
      <c r="Y1342">
        <v>1.2</v>
      </c>
      <c r="Z1342">
        <v>1.2</v>
      </c>
      <c r="AA1342">
        <v>1.2</v>
      </c>
      <c r="AB1342">
        <v>1.2</v>
      </c>
      <c r="AC1342">
        <v>1.2</v>
      </c>
      <c r="AD1342">
        <v>1.2</v>
      </c>
      <c r="AE1342">
        <v>1.2</v>
      </c>
      <c r="AF1342">
        <v>1.2</v>
      </c>
      <c r="AG1342">
        <v>1.2</v>
      </c>
      <c r="AH1342">
        <v>1.2</v>
      </c>
      <c r="AI1342">
        <v>1.2</v>
      </c>
      <c r="AJ1342">
        <v>1.2</v>
      </c>
      <c r="AK1342">
        <v>1.2</v>
      </c>
    </row>
    <row r="1343" spans="5:37" x14ac:dyDescent="0.25">
      <c r="E1343" s="9" t="s">
        <v>472</v>
      </c>
    </row>
    <row r="1344" spans="5:37" x14ac:dyDescent="0.25">
      <c r="F1344" t="s">
        <v>483</v>
      </c>
      <c r="H1344" t="s">
        <v>1016</v>
      </c>
      <c r="Q1344" s="59">
        <f>R1344-Datasheet!R85</f>
        <v>3810</v>
      </c>
      <c r="R1344" s="59">
        <f>S1344-Datasheet!S85</f>
        <v>3811</v>
      </c>
      <c r="S1344" s="59">
        <f>T1344-Datasheet!T85</f>
        <v>3837</v>
      </c>
      <c r="T1344" s="59">
        <v>3837</v>
      </c>
      <c r="U1344" s="59">
        <f>T1344+Datasheet!U85</f>
        <v>3894</v>
      </c>
      <c r="V1344" s="59">
        <f>U1344+Datasheet!V85</f>
        <v>3894</v>
      </c>
      <c r="W1344" s="59">
        <f>V1344+Datasheet!W85</f>
        <v>3894</v>
      </c>
      <c r="X1344" s="59">
        <f>W1344+Datasheet!X85</f>
        <v>4024</v>
      </c>
      <c r="Y1344" s="59">
        <f>X1344+Datasheet!Y85</f>
        <v>4130</v>
      </c>
      <c r="Z1344" s="59">
        <f>Y1344+Datasheet!Z85</f>
        <v>4133</v>
      </c>
      <c r="AA1344" s="59">
        <f>Z1344+Datasheet!AA85</f>
        <v>4171</v>
      </c>
      <c r="AB1344" s="59">
        <f>AA1344+Datasheet!AB85</f>
        <v>4171</v>
      </c>
      <c r="AC1344" s="59">
        <f>AB1344+Datasheet!AC85</f>
        <v>4171</v>
      </c>
      <c r="AD1344" s="59">
        <f>AC1344+Datasheet!AD85</f>
        <v>4171</v>
      </c>
      <c r="AE1344" s="59">
        <f>AD1344+Datasheet!AE85</f>
        <v>4171</v>
      </c>
      <c r="AF1344" s="59">
        <f>AE1344+Datasheet!AF85</f>
        <v>4171</v>
      </c>
      <c r="AG1344" s="59">
        <f>AF1344+Datasheet!AG85</f>
        <v>4171</v>
      </c>
      <c r="AH1344" s="59">
        <f>AG1344+Datasheet!AH85</f>
        <v>4171</v>
      </c>
      <c r="AI1344" s="59">
        <f>AH1344+Datasheet!AI85</f>
        <v>4171</v>
      </c>
      <c r="AJ1344" s="59">
        <f>AI1344+Datasheet!AJ85</f>
        <v>4171</v>
      </c>
      <c r="AK1344" s="59">
        <f>AJ1344+Datasheet!AK85</f>
        <v>4171</v>
      </c>
    </row>
    <row r="1345" spans="5:38" x14ac:dyDescent="0.25">
      <c r="E1345" s="202"/>
      <c r="G1345" t="s">
        <v>606</v>
      </c>
      <c r="H1345" t="s">
        <v>1528</v>
      </c>
      <c r="Q1345" s="59">
        <v>2</v>
      </c>
      <c r="R1345" s="59">
        <v>2</v>
      </c>
      <c r="S1345" s="59">
        <v>2</v>
      </c>
      <c r="T1345" s="59">
        <v>2</v>
      </c>
      <c r="U1345" s="59">
        <v>2</v>
      </c>
      <c r="V1345" s="59">
        <v>2</v>
      </c>
      <c r="W1345" s="59">
        <v>2</v>
      </c>
      <c r="X1345" s="59">
        <v>2</v>
      </c>
      <c r="Y1345" s="59">
        <v>2</v>
      </c>
      <c r="Z1345" s="59">
        <v>2</v>
      </c>
      <c r="AA1345" s="59">
        <v>2</v>
      </c>
      <c r="AB1345" s="59">
        <v>2</v>
      </c>
      <c r="AC1345" s="59">
        <v>2</v>
      </c>
      <c r="AD1345" s="59">
        <v>2</v>
      </c>
      <c r="AE1345" s="59">
        <v>2</v>
      </c>
      <c r="AF1345" s="59">
        <v>2</v>
      </c>
      <c r="AG1345" s="59">
        <v>2</v>
      </c>
      <c r="AH1345" s="59">
        <v>2</v>
      </c>
      <c r="AI1345" s="59">
        <v>2</v>
      </c>
      <c r="AJ1345" s="59">
        <v>2</v>
      </c>
      <c r="AK1345" s="59">
        <v>2</v>
      </c>
    </row>
    <row r="1346" spans="5:38" x14ac:dyDescent="0.25">
      <c r="F1346" t="s">
        <v>484</v>
      </c>
      <c r="H1346" s="223" t="s">
        <v>1016</v>
      </c>
      <c r="I1346" s="165" t="s">
        <v>696</v>
      </c>
      <c r="Q1346" s="59">
        <f>R1346-7</f>
        <v>1563</v>
      </c>
      <c r="R1346" s="59">
        <f>S1346-8</f>
        <v>1570</v>
      </c>
      <c r="S1346" s="59">
        <f>T1346-29</f>
        <v>1578</v>
      </c>
      <c r="T1346" s="59">
        <v>1607</v>
      </c>
      <c r="U1346" s="59">
        <f>T1346+4</f>
        <v>1611</v>
      </c>
      <c r="V1346" s="59">
        <f>U1346</f>
        <v>1611</v>
      </c>
      <c r="W1346" s="59">
        <f t="shared" ref="W1346:AK1346" si="207">V1346</f>
        <v>1611</v>
      </c>
      <c r="X1346" s="59">
        <f t="shared" si="207"/>
        <v>1611</v>
      </c>
      <c r="Y1346" s="59">
        <f t="shared" si="207"/>
        <v>1611</v>
      </c>
      <c r="Z1346" s="59">
        <f t="shared" si="207"/>
        <v>1611</v>
      </c>
      <c r="AA1346" s="59">
        <f t="shared" si="207"/>
        <v>1611</v>
      </c>
      <c r="AB1346" s="59">
        <f t="shared" si="207"/>
        <v>1611</v>
      </c>
      <c r="AC1346" s="59">
        <f t="shared" si="207"/>
        <v>1611</v>
      </c>
      <c r="AD1346" s="59">
        <f t="shared" si="207"/>
        <v>1611</v>
      </c>
      <c r="AE1346" s="59">
        <f t="shared" si="207"/>
        <v>1611</v>
      </c>
      <c r="AF1346" s="59">
        <f t="shared" si="207"/>
        <v>1611</v>
      </c>
      <c r="AG1346" s="59">
        <f t="shared" si="207"/>
        <v>1611</v>
      </c>
      <c r="AH1346" s="59">
        <f t="shared" si="207"/>
        <v>1611</v>
      </c>
      <c r="AI1346" s="59">
        <f t="shared" si="207"/>
        <v>1611</v>
      </c>
      <c r="AJ1346" s="59">
        <f t="shared" si="207"/>
        <v>1611</v>
      </c>
      <c r="AK1346" s="59">
        <f t="shared" si="207"/>
        <v>1611</v>
      </c>
    </row>
    <row r="1347" spans="5:38" x14ac:dyDescent="0.25">
      <c r="E1347" s="202"/>
      <c r="G1347" t="s">
        <v>606</v>
      </c>
      <c r="H1347" t="s">
        <v>1528</v>
      </c>
      <c r="I1347" s="165" t="s">
        <v>697</v>
      </c>
      <c r="Q1347" s="59">
        <v>4</v>
      </c>
      <c r="R1347" s="59">
        <v>4</v>
      </c>
      <c r="S1347" s="59">
        <v>4</v>
      </c>
      <c r="T1347" s="59">
        <v>4</v>
      </c>
      <c r="U1347" s="59">
        <v>4</v>
      </c>
      <c r="V1347" s="59">
        <v>4</v>
      </c>
      <c r="W1347" s="59">
        <v>4</v>
      </c>
      <c r="X1347" s="59">
        <v>4</v>
      </c>
      <c r="Y1347" s="59">
        <v>4</v>
      </c>
      <c r="Z1347" s="59">
        <v>4</v>
      </c>
      <c r="AA1347" s="59">
        <v>4</v>
      </c>
      <c r="AB1347" s="59">
        <v>4</v>
      </c>
      <c r="AC1347" s="59">
        <v>4</v>
      </c>
      <c r="AD1347" s="59">
        <v>4</v>
      </c>
      <c r="AE1347" s="59">
        <v>4</v>
      </c>
      <c r="AF1347" s="59">
        <v>4</v>
      </c>
      <c r="AG1347" s="59">
        <v>4</v>
      </c>
      <c r="AH1347" s="59">
        <v>4</v>
      </c>
      <c r="AI1347" s="59">
        <v>4</v>
      </c>
      <c r="AJ1347" s="59">
        <v>4</v>
      </c>
      <c r="AK1347" s="59">
        <v>4</v>
      </c>
    </row>
    <row r="1348" spans="5:38" x14ac:dyDescent="0.25">
      <c r="F1348" t="s">
        <v>485</v>
      </c>
      <c r="H1348" s="223" t="s">
        <v>1016</v>
      </c>
      <c r="I1348" s="165" t="s">
        <v>696</v>
      </c>
      <c r="Q1348" s="59">
        <f>R1348</f>
        <v>531</v>
      </c>
      <c r="R1348" s="59">
        <f>S1348</f>
        <v>531</v>
      </c>
      <c r="S1348" s="59">
        <f>T1348</f>
        <v>531</v>
      </c>
      <c r="T1348" s="59">
        <v>531</v>
      </c>
      <c r="U1348" s="59">
        <f>T1348</f>
        <v>531</v>
      </c>
      <c r="V1348">
        <f>U1348</f>
        <v>531</v>
      </c>
      <c r="W1348">
        <f t="shared" ref="W1348:AK1348" si="208">V1348</f>
        <v>531</v>
      </c>
      <c r="X1348">
        <f t="shared" si="208"/>
        <v>531</v>
      </c>
      <c r="Y1348">
        <f t="shared" si="208"/>
        <v>531</v>
      </c>
      <c r="Z1348">
        <f t="shared" si="208"/>
        <v>531</v>
      </c>
      <c r="AA1348">
        <f t="shared" si="208"/>
        <v>531</v>
      </c>
      <c r="AB1348">
        <f t="shared" si="208"/>
        <v>531</v>
      </c>
      <c r="AC1348">
        <f t="shared" si="208"/>
        <v>531</v>
      </c>
      <c r="AD1348">
        <f t="shared" si="208"/>
        <v>531</v>
      </c>
      <c r="AE1348">
        <f t="shared" si="208"/>
        <v>531</v>
      </c>
      <c r="AF1348">
        <f t="shared" si="208"/>
        <v>531</v>
      </c>
      <c r="AG1348">
        <f t="shared" si="208"/>
        <v>531</v>
      </c>
      <c r="AH1348">
        <f t="shared" si="208"/>
        <v>531</v>
      </c>
      <c r="AI1348">
        <f t="shared" si="208"/>
        <v>531</v>
      </c>
      <c r="AJ1348">
        <f t="shared" si="208"/>
        <v>531</v>
      </c>
      <c r="AK1348">
        <f t="shared" si="208"/>
        <v>531</v>
      </c>
    </row>
    <row r="1349" spans="5:38" x14ac:dyDescent="0.25">
      <c r="E1349" s="202"/>
      <c r="G1349" t="s">
        <v>606</v>
      </c>
      <c r="H1349" t="s">
        <v>1528</v>
      </c>
      <c r="I1349" s="165" t="s">
        <v>698</v>
      </c>
      <c r="Q1349" s="135">
        <v>2.7</v>
      </c>
      <c r="R1349" s="135">
        <v>2.7</v>
      </c>
      <c r="S1349" s="135">
        <v>2.7</v>
      </c>
      <c r="T1349" s="135">
        <v>2.7</v>
      </c>
      <c r="U1349" s="135">
        <v>2.7</v>
      </c>
      <c r="V1349" s="135">
        <v>2.7</v>
      </c>
      <c r="W1349" s="135">
        <v>2.7</v>
      </c>
      <c r="X1349" s="135">
        <v>2.7</v>
      </c>
      <c r="Y1349" s="135">
        <v>2.7</v>
      </c>
      <c r="Z1349" s="135">
        <v>2.7</v>
      </c>
      <c r="AA1349" s="135">
        <v>2.7</v>
      </c>
      <c r="AB1349" s="135">
        <v>2.7</v>
      </c>
      <c r="AC1349" s="135">
        <v>2.7</v>
      </c>
      <c r="AD1349" s="135">
        <v>2.7</v>
      </c>
      <c r="AE1349" s="135">
        <v>2.7</v>
      </c>
      <c r="AF1349" s="135">
        <v>2.7</v>
      </c>
      <c r="AG1349" s="135">
        <v>2.7</v>
      </c>
      <c r="AH1349" s="135">
        <v>2.7</v>
      </c>
      <c r="AI1349" s="135">
        <v>2.7</v>
      </c>
      <c r="AJ1349" s="135">
        <v>2.7</v>
      </c>
      <c r="AK1349" s="135">
        <v>2.7</v>
      </c>
    </row>
    <row r="1350" spans="5:38" x14ac:dyDescent="0.25">
      <c r="F1350" t="s">
        <v>486</v>
      </c>
    </row>
    <row r="1351" spans="5:38" x14ac:dyDescent="0.25">
      <c r="G1351" t="s">
        <v>462</v>
      </c>
      <c r="H1351" t="s">
        <v>1529</v>
      </c>
      <c r="Q1351" s="122">
        <f>AVERAGE(Datasheet!Q914:Q917)</f>
        <v>0.84050000000000002</v>
      </c>
      <c r="R1351" s="122">
        <f>AVERAGE(Datasheet!R914:R917)</f>
        <v>0.81625000000000003</v>
      </c>
      <c r="S1351" s="122">
        <f>AVERAGE(Datasheet!S914:S917)</f>
        <v>0.82499999999999996</v>
      </c>
      <c r="T1351" s="122">
        <f>AVERAGE(Datasheet!T914:T917)</f>
        <v>0.78749999999999998</v>
      </c>
      <c r="U1351" s="122">
        <f>AVERAGE(Datasheet!U914:U917)</f>
        <v>0.83250000000000002</v>
      </c>
      <c r="V1351" s="122">
        <f>AVERAGE(Datasheet!V914:V917)</f>
        <v>0.84899999999999998</v>
      </c>
      <c r="W1351" s="122">
        <f>AVERAGE(Datasheet!W914:W917)</f>
        <v>0.877</v>
      </c>
      <c r="X1351" s="122">
        <f>AVERAGE(Datasheet!X914:X917)</f>
        <v>0.85299999999999998</v>
      </c>
      <c r="Y1351" s="122">
        <f>AVERAGE(Datasheet!Y914:Y917)</f>
        <v>0.84375</v>
      </c>
      <c r="Z1351" s="122">
        <f>AVERAGE(Datasheet!Z914:Z917)</f>
        <v>0.83624999999999994</v>
      </c>
      <c r="AA1351" s="122">
        <f>AVERAGE(Datasheet!AA914:AA917)</f>
        <v>0.64149999999999996</v>
      </c>
      <c r="AB1351" s="122" t="e">
        <f>AVERAGE(Datasheet!AB914:AB917)</f>
        <v>#DIV/0!</v>
      </c>
      <c r="AC1351" s="122" t="e">
        <f>AVERAGE(Datasheet!AC914:AC917)</f>
        <v>#DIV/0!</v>
      </c>
      <c r="AD1351" s="122" t="e">
        <f>AVERAGE(Datasheet!AD914:AD917)</f>
        <v>#DIV/0!</v>
      </c>
      <c r="AE1351" s="122" t="e">
        <f>AVERAGE(Datasheet!AE914:AE917)</f>
        <v>#DIV/0!</v>
      </c>
      <c r="AF1351" s="122" t="e">
        <f>AVERAGE(Datasheet!AF914:AF917)</f>
        <v>#DIV/0!</v>
      </c>
      <c r="AG1351" s="122" t="e">
        <f>AVERAGE(Datasheet!AG914:AG917)</f>
        <v>#DIV/0!</v>
      </c>
      <c r="AH1351" s="122" t="e">
        <f>AVERAGE(Datasheet!AH914:AH917)</f>
        <v>#DIV/0!</v>
      </c>
      <c r="AI1351" s="122" t="e">
        <f>AVERAGE(Datasheet!AI914:AI917)</f>
        <v>#DIV/0!</v>
      </c>
      <c r="AJ1351" s="122" t="e">
        <f>AVERAGE(Datasheet!AJ914:AJ917)</f>
        <v>#DIV/0!</v>
      </c>
      <c r="AK1351" s="122" t="e">
        <f>AVERAGE(Datasheet!AK914:AK917)</f>
        <v>#DIV/0!</v>
      </c>
    </row>
    <row r="1352" spans="5:38" x14ac:dyDescent="0.25">
      <c r="G1352" t="s">
        <v>463</v>
      </c>
      <c r="H1352" s="223" t="s">
        <v>1529</v>
      </c>
      <c r="Q1352" s="122">
        <f>AVERAGE(Datasheet!Q909:Q911,Datasheet!Q920)</f>
        <v>0.43</v>
      </c>
      <c r="R1352" s="122">
        <f>AVERAGE(Datasheet!R909:R911,Datasheet!R920)</f>
        <v>0.41799999999999998</v>
      </c>
      <c r="S1352" s="122">
        <f>AVERAGE(Datasheet!S909:S911,Datasheet!S920)</f>
        <v>0.45324999999999999</v>
      </c>
      <c r="T1352" s="122">
        <f>AVERAGE(Datasheet!T909:T911,Datasheet!T920)</f>
        <v>0.48000000000000004</v>
      </c>
      <c r="U1352" s="122">
        <f>AVERAGE(Datasheet!U909:U911,Datasheet!U920)</f>
        <v>0.54250000000000009</v>
      </c>
      <c r="V1352" s="122">
        <f>AVERAGE(Datasheet!V909:V911,Datasheet!V920)</f>
        <v>0.53775000000000006</v>
      </c>
      <c r="W1352" s="122">
        <f>AVERAGE(Datasheet!W909:W911,Datasheet!W920)</f>
        <v>0.5585</v>
      </c>
      <c r="X1352" s="122">
        <f>AVERAGE(Datasheet!X909:X911,Datasheet!X920)</f>
        <v>0.57024999999999992</v>
      </c>
      <c r="Y1352" s="122">
        <f>AVERAGE(Datasheet!Y909:Y911,Datasheet!Y920)</f>
        <v>0.57399999999999995</v>
      </c>
      <c r="Z1352" s="122">
        <f>AVERAGE(Datasheet!Z909:Z911,Datasheet!Z920)</f>
        <v>0.61424999999999996</v>
      </c>
      <c r="AA1352" s="122">
        <f>AVERAGE(Datasheet!AA909:AA911,Datasheet!AA920)</f>
        <v>0.55275000000000007</v>
      </c>
      <c r="AB1352" s="122" t="e">
        <f>AVERAGE(Datasheet!AB909:AB911,Datasheet!AB920)</f>
        <v>#DIV/0!</v>
      </c>
      <c r="AC1352" s="122" t="e">
        <f>AVERAGE(Datasheet!AC909:AC911,Datasheet!AC920)</f>
        <v>#DIV/0!</v>
      </c>
      <c r="AD1352" s="122" t="e">
        <f>AVERAGE(Datasheet!AD909:AD911,Datasheet!AD920)</f>
        <v>#DIV/0!</v>
      </c>
      <c r="AE1352" s="122" t="e">
        <f>AVERAGE(Datasheet!AE909:AE911,Datasheet!AE920)</f>
        <v>#DIV/0!</v>
      </c>
      <c r="AF1352" s="122" t="e">
        <f>AVERAGE(Datasheet!AF909:AF911,Datasheet!AF920)</f>
        <v>#DIV/0!</v>
      </c>
      <c r="AG1352" s="122" t="e">
        <f>AVERAGE(Datasheet!AG909:AG911,Datasheet!AG920)</f>
        <v>#DIV/0!</v>
      </c>
      <c r="AH1352" s="122" t="e">
        <f>AVERAGE(Datasheet!AH909:AH911,Datasheet!AH920)</f>
        <v>#DIV/0!</v>
      </c>
      <c r="AI1352" s="122" t="e">
        <f>AVERAGE(Datasheet!AI909:AI911,Datasheet!AI920)</f>
        <v>#DIV/0!</v>
      </c>
      <c r="AJ1352" s="122" t="e">
        <f>AVERAGE(Datasheet!AJ909:AJ911,Datasheet!AJ920)</f>
        <v>#DIV/0!</v>
      </c>
      <c r="AK1352" s="122" t="e">
        <f>AVERAGE(Datasheet!AK909:AK911,Datasheet!AK920)</f>
        <v>#DIV/0!</v>
      </c>
    </row>
    <row r="1353" spans="5:38" x14ac:dyDescent="0.25">
      <c r="G1353" t="s">
        <v>464</v>
      </c>
      <c r="H1353" s="223" t="s">
        <v>1529</v>
      </c>
      <c r="Q1353" s="122">
        <f>AVERAGE(Datasheet!Q912:Q913,Datasheet!Q918:Q919)</f>
        <v>0.25474999999999998</v>
      </c>
      <c r="R1353" s="122">
        <f>AVERAGE(Datasheet!R912:R913,Datasheet!R918:R919)</f>
        <v>0.23599999999999999</v>
      </c>
      <c r="S1353" s="122">
        <f>AVERAGE(Datasheet!S912:S913,Datasheet!S918:S919)</f>
        <v>0.27</v>
      </c>
      <c r="T1353" s="122">
        <f>AVERAGE(Datasheet!T912:T913,Datasheet!T918:T919)</f>
        <v>0.23250000000000001</v>
      </c>
      <c r="U1353" s="122">
        <f>AVERAGE(Datasheet!U912:U913,Datasheet!U918:U919)</f>
        <v>0.27</v>
      </c>
      <c r="V1353" s="122">
        <f>AVERAGE(Datasheet!V912:V913,Datasheet!V918:V919)</f>
        <v>0.29125000000000001</v>
      </c>
      <c r="W1353" s="122">
        <f>AVERAGE(Datasheet!W912:W913,Datasheet!W918:W919)</f>
        <v>0.3125</v>
      </c>
      <c r="X1353" s="122">
        <f>AVERAGE(Datasheet!X912:X913,Datasheet!X918:X919)</f>
        <v>0.3075</v>
      </c>
      <c r="Y1353" s="122">
        <f>AVERAGE(Datasheet!Y912:Y913,Datasheet!Y918:Y919)</f>
        <v>0.31774999999999998</v>
      </c>
      <c r="Z1353" s="122">
        <f>AVERAGE(Datasheet!Z912:Z913,Datasheet!Z918:Z919)</f>
        <v>0.32050000000000001</v>
      </c>
      <c r="AA1353" s="122">
        <f>AVERAGE(Datasheet!AA912:AA913,Datasheet!AA918:AA919)</f>
        <v>0.252</v>
      </c>
      <c r="AB1353" s="122" t="e">
        <f>AVERAGE(Datasheet!AB912:AB913,Datasheet!AB918:AB919)</f>
        <v>#DIV/0!</v>
      </c>
      <c r="AC1353" s="122" t="e">
        <f>AVERAGE(Datasheet!AC912:AC913,Datasheet!AC918:AC919)</f>
        <v>#DIV/0!</v>
      </c>
      <c r="AD1353" s="122" t="e">
        <f>AVERAGE(Datasheet!AD912:AD913,Datasheet!AD918:AD919)</f>
        <v>#DIV/0!</v>
      </c>
      <c r="AE1353" s="122" t="e">
        <f>AVERAGE(Datasheet!AE912:AE913,Datasheet!AE918:AE919)</f>
        <v>#DIV/0!</v>
      </c>
      <c r="AF1353" s="122" t="e">
        <f>AVERAGE(Datasheet!AF912:AF913,Datasheet!AF918:AF919)</f>
        <v>#DIV/0!</v>
      </c>
      <c r="AG1353" s="122" t="e">
        <f>AVERAGE(Datasheet!AG912:AG913,Datasheet!AG918:AG919)</f>
        <v>#DIV/0!</v>
      </c>
      <c r="AH1353" s="122" t="e">
        <f>AVERAGE(Datasheet!AH912:AH913,Datasheet!AH918:AH919)</f>
        <v>#DIV/0!</v>
      </c>
      <c r="AI1353" s="122" t="e">
        <f>AVERAGE(Datasheet!AI912:AI913,Datasheet!AI918:AI919)</f>
        <v>#DIV/0!</v>
      </c>
      <c r="AJ1353" s="122" t="e">
        <f>AVERAGE(Datasheet!AJ912:AJ913,Datasheet!AJ918:AJ919)</f>
        <v>#DIV/0!</v>
      </c>
      <c r="AK1353" s="122" t="e">
        <f>AVERAGE(Datasheet!AK912:AK913,Datasheet!AK918:AK919)</f>
        <v>#DIV/0!</v>
      </c>
    </row>
    <row r="1354" spans="5:38" x14ac:dyDescent="0.25">
      <c r="F1354" t="s">
        <v>487</v>
      </c>
    </row>
    <row r="1355" spans="5:38" x14ac:dyDescent="0.25">
      <c r="G1355" t="s">
        <v>462</v>
      </c>
      <c r="H1355" t="s">
        <v>1514</v>
      </c>
      <c r="Q1355" s="59">
        <f>Datasheet!Q931/Q1371</f>
        <v>248.14754098360655</v>
      </c>
      <c r="R1355" s="59">
        <f>Datasheet!R931/R1371</f>
        <v>219.98360655737704</v>
      </c>
      <c r="S1355" s="59">
        <f>Datasheet!S931/S1371</f>
        <v>282.71311475409834</v>
      </c>
      <c r="T1355" s="59">
        <f>Datasheet!T931/T1371</f>
        <v>248.57377049180329</v>
      </c>
      <c r="U1355" s="59">
        <f>Datasheet!U931/U1371</f>
        <v>143.0655737704918</v>
      </c>
      <c r="V1355" s="59">
        <f>Datasheet!V931/V1371</f>
        <v>198.54098360655738</v>
      </c>
      <c r="W1355" s="59">
        <f>Datasheet!W931/W1371</f>
        <v>222.91803278688525</v>
      </c>
      <c r="X1355" s="59">
        <f>Datasheet!X931/X1371</f>
        <v>240.31147540983608</v>
      </c>
      <c r="Y1355" s="59">
        <f>Datasheet!Y931/Y1371</f>
        <v>235.39344262295083</v>
      </c>
      <c r="Z1355" s="59">
        <f>Datasheet!Z931/Z1371</f>
        <v>227.58196721311475</v>
      </c>
      <c r="AA1355" s="59">
        <f>Datasheet!AA931/AA1371</f>
        <v>317.60655737704917</v>
      </c>
      <c r="AB1355" s="59">
        <f>Datasheet!AB931/AB1371</f>
        <v>0</v>
      </c>
      <c r="AC1355" s="59">
        <f>Datasheet!AC931/AC1371</f>
        <v>0</v>
      </c>
      <c r="AD1355" s="59">
        <f>Datasheet!AD931/AD1371</f>
        <v>0</v>
      </c>
      <c r="AE1355" s="59">
        <f>Datasheet!AE931/AE1371</f>
        <v>0</v>
      </c>
      <c r="AF1355" s="59">
        <f>Datasheet!AF931/AF1371</f>
        <v>0</v>
      </c>
      <c r="AG1355" s="59">
        <f>Datasheet!AG931/AG1371</f>
        <v>0</v>
      </c>
      <c r="AH1355" s="59">
        <f>Datasheet!AH931/AH1371</f>
        <v>0</v>
      </c>
      <c r="AI1355" s="59">
        <f>Datasheet!AI931/AI1371</f>
        <v>0</v>
      </c>
      <c r="AJ1355" s="59">
        <f>Datasheet!AJ931/AJ1371</f>
        <v>0</v>
      </c>
      <c r="AK1355" s="59">
        <f>Datasheet!AK931/AK1371</f>
        <v>0</v>
      </c>
      <c r="AL1355" s="59"/>
    </row>
    <row r="1356" spans="5:38" x14ac:dyDescent="0.25">
      <c r="G1356" t="s">
        <v>463</v>
      </c>
      <c r="H1356" t="s">
        <v>1514</v>
      </c>
      <c r="Q1356">
        <v>0</v>
      </c>
      <c r="R1356">
        <v>0</v>
      </c>
      <c r="S1356">
        <v>0</v>
      </c>
      <c r="T1356">
        <v>0</v>
      </c>
      <c r="U1356">
        <v>0</v>
      </c>
      <c r="V1356">
        <v>0</v>
      </c>
      <c r="W1356">
        <v>0</v>
      </c>
      <c r="X1356">
        <v>0</v>
      </c>
      <c r="Y1356">
        <v>0</v>
      </c>
      <c r="Z1356">
        <v>0</v>
      </c>
      <c r="AA1356">
        <v>0</v>
      </c>
      <c r="AB1356">
        <v>0</v>
      </c>
      <c r="AC1356">
        <v>0</v>
      </c>
      <c r="AD1356">
        <v>0</v>
      </c>
      <c r="AE1356">
        <v>0</v>
      </c>
      <c r="AF1356">
        <v>0</v>
      </c>
      <c r="AG1356">
        <v>0</v>
      </c>
      <c r="AH1356">
        <v>0</v>
      </c>
      <c r="AI1356">
        <v>0</v>
      </c>
      <c r="AJ1356">
        <v>0</v>
      </c>
      <c r="AK1356">
        <v>0</v>
      </c>
    </row>
    <row r="1357" spans="5:38" x14ac:dyDescent="0.25">
      <c r="G1357" t="s">
        <v>464</v>
      </c>
      <c r="H1357" t="s">
        <v>1514</v>
      </c>
      <c r="Q1357">
        <v>0</v>
      </c>
      <c r="R1357">
        <v>0</v>
      </c>
      <c r="S1357">
        <v>0</v>
      </c>
      <c r="T1357">
        <v>0</v>
      </c>
      <c r="U1357">
        <v>0</v>
      </c>
      <c r="V1357">
        <v>0</v>
      </c>
      <c r="W1357">
        <v>0</v>
      </c>
      <c r="X1357">
        <v>0</v>
      </c>
      <c r="Y1357">
        <v>0</v>
      </c>
      <c r="Z1357">
        <v>0</v>
      </c>
      <c r="AA1357">
        <v>0</v>
      </c>
      <c r="AB1357">
        <v>0</v>
      </c>
      <c r="AC1357">
        <v>0</v>
      </c>
      <c r="AD1357">
        <v>0</v>
      </c>
      <c r="AE1357">
        <v>0</v>
      </c>
      <c r="AF1357">
        <v>0</v>
      </c>
      <c r="AG1357">
        <v>0</v>
      </c>
      <c r="AH1357">
        <v>0</v>
      </c>
      <c r="AI1357">
        <v>0</v>
      </c>
      <c r="AJ1357">
        <v>0</v>
      </c>
      <c r="AK1357">
        <v>0</v>
      </c>
    </row>
    <row r="1358" spans="5:38" x14ac:dyDescent="0.25">
      <c r="F1358" t="s">
        <v>488</v>
      </c>
    </row>
    <row r="1359" spans="5:38" x14ac:dyDescent="0.25">
      <c r="G1359" t="s">
        <v>462</v>
      </c>
      <c r="H1359" s="223" t="s">
        <v>1514</v>
      </c>
      <c r="Q1359">
        <v>118</v>
      </c>
      <c r="R1359">
        <v>118</v>
      </c>
      <c r="S1359">
        <v>118</v>
      </c>
      <c r="T1359">
        <v>118</v>
      </c>
      <c r="U1359">
        <v>118</v>
      </c>
      <c r="V1359">
        <v>118</v>
      </c>
      <c r="W1359">
        <v>118</v>
      </c>
      <c r="X1359">
        <v>118</v>
      </c>
      <c r="Y1359">
        <v>118</v>
      </c>
      <c r="Z1359">
        <v>118</v>
      </c>
      <c r="AA1359">
        <v>118</v>
      </c>
      <c r="AB1359">
        <v>118</v>
      </c>
      <c r="AC1359">
        <v>118</v>
      </c>
      <c r="AD1359">
        <v>118</v>
      </c>
      <c r="AE1359">
        <v>118</v>
      </c>
      <c r="AF1359">
        <v>118</v>
      </c>
      <c r="AG1359">
        <v>118</v>
      </c>
      <c r="AH1359">
        <v>118</v>
      </c>
      <c r="AI1359">
        <v>118</v>
      </c>
      <c r="AJ1359">
        <v>118</v>
      </c>
      <c r="AK1359">
        <v>118</v>
      </c>
    </row>
    <row r="1360" spans="5:38" x14ac:dyDescent="0.25">
      <c r="G1360" t="s">
        <v>463</v>
      </c>
      <c r="H1360" s="223" t="s">
        <v>1514</v>
      </c>
      <c r="Q1360">
        <v>0</v>
      </c>
      <c r="R1360">
        <v>0</v>
      </c>
      <c r="S1360">
        <v>0</v>
      </c>
      <c r="T1360">
        <v>0</v>
      </c>
      <c r="U1360">
        <v>0</v>
      </c>
      <c r="V1360">
        <v>0</v>
      </c>
      <c r="W1360">
        <v>0</v>
      </c>
      <c r="X1360">
        <v>0</v>
      </c>
      <c r="Y1360">
        <v>0</v>
      </c>
      <c r="Z1360">
        <v>0</v>
      </c>
      <c r="AA1360">
        <v>0</v>
      </c>
      <c r="AB1360">
        <v>0</v>
      </c>
      <c r="AC1360">
        <v>0</v>
      </c>
      <c r="AD1360">
        <v>0</v>
      </c>
      <c r="AE1360">
        <v>0</v>
      </c>
      <c r="AF1360">
        <v>0</v>
      </c>
      <c r="AG1360">
        <v>0</v>
      </c>
      <c r="AH1360">
        <v>0</v>
      </c>
      <c r="AI1360">
        <v>0</v>
      </c>
      <c r="AJ1360">
        <v>0</v>
      </c>
      <c r="AK1360">
        <v>0</v>
      </c>
    </row>
    <row r="1361" spans="1:37" x14ac:dyDescent="0.25">
      <c r="G1361" t="s">
        <v>464</v>
      </c>
      <c r="H1361" s="223" t="s">
        <v>1514</v>
      </c>
      <c r="Q1361">
        <v>0</v>
      </c>
      <c r="R1361">
        <v>0</v>
      </c>
      <c r="S1361">
        <v>0</v>
      </c>
      <c r="T1361">
        <v>0</v>
      </c>
      <c r="U1361">
        <v>0</v>
      </c>
      <c r="V1361">
        <v>0</v>
      </c>
      <c r="W1361">
        <v>0</v>
      </c>
      <c r="X1361">
        <v>0</v>
      </c>
      <c r="Y1361">
        <v>0</v>
      </c>
      <c r="Z1361">
        <v>0</v>
      </c>
      <c r="AA1361">
        <v>0</v>
      </c>
      <c r="AB1361">
        <v>0</v>
      </c>
      <c r="AC1361">
        <v>0</v>
      </c>
      <c r="AD1361">
        <v>0</v>
      </c>
      <c r="AE1361">
        <v>0</v>
      </c>
      <c r="AF1361">
        <v>0</v>
      </c>
      <c r="AG1361">
        <v>0</v>
      </c>
      <c r="AH1361">
        <v>0</v>
      </c>
      <c r="AI1361">
        <v>0</v>
      </c>
      <c r="AJ1361">
        <v>0</v>
      </c>
      <c r="AK1361">
        <v>0</v>
      </c>
    </row>
    <row r="1362" spans="1:37" x14ac:dyDescent="0.25">
      <c r="F1362" t="s">
        <v>489</v>
      </c>
    </row>
    <row r="1363" spans="1:37" x14ac:dyDescent="0.25">
      <c r="G1363" t="s">
        <v>462</v>
      </c>
      <c r="H1363" s="223" t="s">
        <v>1514</v>
      </c>
      <c r="Q1363" s="59">
        <f>SUM(Datasheet!Q973:Q976)/Q1371</f>
        <v>4061.8606557377047</v>
      </c>
      <c r="R1363" s="59">
        <f>SUM(Datasheet!R973:R976)/R1371</f>
        <v>3773.1475409836066</v>
      </c>
      <c r="S1363" s="59">
        <f>SUM(Datasheet!S973:S976)/S1371</f>
        <v>3848.0737704918033</v>
      </c>
      <c r="T1363" s="59">
        <f>SUM(Datasheet!T973:T976)/T1371</f>
        <v>4134.122950819672</v>
      </c>
      <c r="U1363" s="59">
        <f>SUM(Datasheet!U973:U976)/U1371</f>
        <v>4122.3606557377052</v>
      </c>
      <c r="V1363" s="59">
        <f>SUM(Datasheet!V973:V976)/V1371</f>
        <v>4875.6639344262294</v>
      </c>
      <c r="W1363" s="59">
        <f>SUM(Datasheet!W973:W976)/W1371</f>
        <v>3990.2459016393441</v>
      </c>
      <c r="X1363" s="59">
        <f>SUM(Datasheet!X973:X976)/X1371</f>
        <v>4925.5409836065573</v>
      </c>
      <c r="Y1363" s="59">
        <f>SUM(Datasheet!Y973:Y976)/Y1371</f>
        <v>3316.2704918032787</v>
      </c>
      <c r="Z1363" s="59">
        <f>SUM(Datasheet!Z973:Z976)/Z1371</f>
        <v>4267.3524590163934</v>
      </c>
      <c r="AA1363" s="59">
        <f>SUM(Datasheet!AA973:AA976)/AA1371</f>
        <v>3215.0983606557379</v>
      </c>
      <c r="AB1363" s="59">
        <f>SUM(Datasheet!AB973:AB976)/AB1371</f>
        <v>0</v>
      </c>
      <c r="AC1363" s="59">
        <f>SUM(Datasheet!AC973:AC976)/AC1371</f>
        <v>0</v>
      </c>
      <c r="AD1363" s="59">
        <f>SUM(Datasheet!AD973:AD976)/AD1371</f>
        <v>0</v>
      </c>
      <c r="AE1363" s="59">
        <f>SUM(Datasheet!AE973:AE976)/AE1371</f>
        <v>0</v>
      </c>
      <c r="AF1363" s="59">
        <f>SUM(Datasheet!AF973:AF976)/AF1371</f>
        <v>0</v>
      </c>
      <c r="AG1363" s="59">
        <f>SUM(Datasheet!AG973:AG976)/AG1371</f>
        <v>0</v>
      </c>
      <c r="AH1363" s="59">
        <f>SUM(Datasheet!AH973:AH976)/AH1371</f>
        <v>0</v>
      </c>
      <c r="AI1363" s="59">
        <f>SUM(Datasheet!AI973:AI976)/AI1371</f>
        <v>0</v>
      </c>
      <c r="AJ1363" s="59">
        <f>SUM(Datasheet!AJ973:AJ976)/AJ1371</f>
        <v>0</v>
      </c>
      <c r="AK1363" s="59">
        <f>SUM(Datasheet!AK973:AK976)/AK1371</f>
        <v>0</v>
      </c>
    </row>
    <row r="1364" spans="1:37" x14ac:dyDescent="0.25">
      <c r="G1364" t="s">
        <v>463</v>
      </c>
      <c r="H1364" s="223" t="s">
        <v>1514</v>
      </c>
      <c r="Q1364" s="59">
        <f>SUM(Datasheet!Q968:Q970,Datasheet!Q979)/Q1372</f>
        <v>10.429752066115702</v>
      </c>
      <c r="R1364" s="59">
        <f>SUM(Datasheet!R968:R970,Datasheet!R979)/R1372</f>
        <v>6.3966942148760326</v>
      </c>
      <c r="S1364" s="59">
        <f>SUM(Datasheet!S968:S970,Datasheet!S979)/S1372</f>
        <v>8.7024793388429753</v>
      </c>
      <c r="T1364" s="59">
        <f>SUM(Datasheet!T968:T970,Datasheet!T979)/T1372</f>
        <v>11.454545454545455</v>
      </c>
      <c r="U1364" s="59">
        <f>SUM(Datasheet!U968:U970,Datasheet!U979)/U1372</f>
        <v>7.2479338842975203</v>
      </c>
      <c r="V1364" s="59">
        <f>SUM(Datasheet!V968:V970,Datasheet!V979)/V1372</f>
        <v>7.7685950413223139</v>
      </c>
      <c r="W1364" s="59">
        <f>SUM(Datasheet!W968:W970,Datasheet!W979)/W1372</f>
        <v>3.8760330578512399</v>
      </c>
      <c r="X1364" s="59">
        <f>SUM(Datasheet!X968:X970,Datasheet!X979)/X1372</f>
        <v>7.9669421487603307</v>
      </c>
      <c r="Y1364" s="59">
        <f>SUM(Datasheet!Y968:Y970,Datasheet!Y979)/Y1372</f>
        <v>9.776859504132231</v>
      </c>
      <c r="Z1364" s="59">
        <f>SUM(Datasheet!Z968:Z970,Datasheet!Z979)/Z1372</f>
        <v>5.6198347107438016</v>
      </c>
      <c r="AA1364" s="59">
        <f>SUM(Datasheet!AA968:AA970,Datasheet!AA979)/AA1372</f>
        <v>2.165289256198347</v>
      </c>
      <c r="AB1364" s="59">
        <f>SUM(Datasheet!AB968:AB970,Datasheet!AB979)/AB1372</f>
        <v>0</v>
      </c>
      <c r="AC1364" s="59">
        <f>SUM(Datasheet!AC968:AC970,Datasheet!AC979)/AC1372</f>
        <v>0</v>
      </c>
      <c r="AD1364" s="59">
        <f>SUM(Datasheet!AD968:AD970,Datasheet!AD979)/AD1372</f>
        <v>0</v>
      </c>
      <c r="AE1364" s="59">
        <f>SUM(Datasheet!AE968:AE970,Datasheet!AE979)/AE1372</f>
        <v>0</v>
      </c>
      <c r="AF1364" s="59">
        <f>SUM(Datasheet!AF968:AF970,Datasheet!AF979)/AF1372</f>
        <v>0</v>
      </c>
      <c r="AG1364" s="59">
        <f>SUM(Datasheet!AG968:AG970,Datasheet!AG979)/AG1372</f>
        <v>0</v>
      </c>
      <c r="AH1364" s="59">
        <f>SUM(Datasheet!AH968:AH970,Datasheet!AH979)/AH1372</f>
        <v>0</v>
      </c>
      <c r="AI1364" s="59">
        <f>SUM(Datasheet!AI968:AI970,Datasheet!AI979)/AI1372</f>
        <v>0</v>
      </c>
      <c r="AJ1364" s="59">
        <f>SUM(Datasheet!AJ968:AJ970,Datasheet!AJ979)/AJ1372</f>
        <v>0</v>
      </c>
      <c r="AK1364" s="59">
        <f>SUM(Datasheet!AK968:AK970,Datasheet!AK979)/AK1372</f>
        <v>0</v>
      </c>
    </row>
    <row r="1365" spans="1:37" x14ac:dyDescent="0.25">
      <c r="G1365" t="s">
        <v>464</v>
      </c>
      <c r="H1365" s="223" t="s">
        <v>1514</v>
      </c>
      <c r="Q1365" s="59">
        <f>SUM(Datasheet!Q971:Q972,Datasheet!Q977:Q978)/Q1373</f>
        <v>170.99180327868854</v>
      </c>
      <c r="R1365" s="59">
        <f>SUM(Datasheet!R971:R972,Datasheet!R977:R978)/R1373</f>
        <v>183.35245901639345</v>
      </c>
      <c r="S1365" s="59">
        <f>SUM(Datasheet!S971:S972,Datasheet!S977:S978)/S1373</f>
        <v>204.72131147540983</v>
      </c>
      <c r="T1365" s="59">
        <f>SUM(Datasheet!T971:T972,Datasheet!T977:T978)/T1373</f>
        <v>163.54918032786884</v>
      </c>
      <c r="U1365" s="59">
        <f>SUM(Datasheet!U971:U972,Datasheet!U977:U978)/U1373</f>
        <v>378.1639344262295</v>
      </c>
      <c r="V1365" s="59">
        <f>SUM(Datasheet!V971:V972,Datasheet!V977:V978)/V1373</f>
        <v>290.72950819672133</v>
      </c>
      <c r="W1365" s="59">
        <f>SUM(Datasheet!W971:W972,Datasheet!W977:W978)/W1373</f>
        <v>357.10655737704917</v>
      </c>
      <c r="X1365" s="59">
        <f>SUM(Datasheet!X971:X972,Datasheet!X977:X978)/X1373</f>
        <v>324.80327868852459</v>
      </c>
      <c r="Y1365" s="59">
        <f>SUM(Datasheet!Y971:Y972,Datasheet!Y977:Y978)/Y1373</f>
        <v>332.22131147540983</v>
      </c>
      <c r="Z1365" s="59">
        <f>SUM(Datasheet!Z971:Z972,Datasheet!Z977:Z978)/Z1373</f>
        <v>344.9590163934426</v>
      </c>
      <c r="AA1365" s="59">
        <f>SUM(Datasheet!AA971:AA972,Datasheet!AA977:AA978)/AA1373</f>
        <v>132.0655737704918</v>
      </c>
      <c r="AB1365" s="59">
        <f>SUM(Datasheet!AB971:AB972,Datasheet!AB977:AB978)/AB1373</f>
        <v>0</v>
      </c>
      <c r="AC1365" s="59">
        <f>SUM(Datasheet!AC971:AC972,Datasheet!AC977:AC978)/AC1373</f>
        <v>0</v>
      </c>
      <c r="AD1365" s="59">
        <f>SUM(Datasheet!AD971:AD972,Datasheet!AD977:AD978)/AD1373</f>
        <v>0</v>
      </c>
      <c r="AE1365" s="59">
        <f>SUM(Datasheet!AE971:AE972,Datasheet!AE977:AE978)/AE1373</f>
        <v>0</v>
      </c>
      <c r="AF1365" s="59">
        <f>SUM(Datasheet!AF971:AF972,Datasheet!AF977:AF978)/AF1373</f>
        <v>0</v>
      </c>
      <c r="AG1365" s="59">
        <f>SUM(Datasheet!AG971:AG972,Datasheet!AG977:AG978)/AG1373</f>
        <v>0</v>
      </c>
      <c r="AH1365" s="59">
        <f>SUM(Datasheet!AH971:AH972,Datasheet!AH977:AH978)/AH1373</f>
        <v>0</v>
      </c>
      <c r="AI1365" s="59">
        <f>SUM(Datasheet!AI971:AI972,Datasheet!AI977:AI978)/AI1373</f>
        <v>0</v>
      </c>
      <c r="AJ1365" s="59">
        <f>SUM(Datasheet!AJ971:AJ972,Datasheet!AJ977:AJ978)/AJ1373</f>
        <v>0</v>
      </c>
      <c r="AK1365" s="59">
        <f>SUM(Datasheet!AK971:AK972,Datasheet!AK977:AK978)/AK1373</f>
        <v>0</v>
      </c>
    </row>
    <row r="1366" spans="1:37" x14ac:dyDescent="0.25">
      <c r="F1366" t="s">
        <v>490</v>
      </c>
    </row>
    <row r="1367" spans="1:37" x14ac:dyDescent="0.25">
      <c r="G1367" t="s">
        <v>462</v>
      </c>
      <c r="H1367" s="223" t="s">
        <v>1514</v>
      </c>
      <c r="Q1367" s="137">
        <f>484582/Q1371</f>
        <v>3971.9836065573772</v>
      </c>
      <c r="R1367" s="137">
        <f>481349/R1371</f>
        <v>3945.4836065573772</v>
      </c>
      <c r="S1367" s="137">
        <f>494511/S1371</f>
        <v>4053.3688524590166</v>
      </c>
      <c r="T1367" s="137">
        <f>507475/T1371</f>
        <v>4159.6311475409839</v>
      </c>
      <c r="U1367" s="137">
        <f>500904/U1371</f>
        <v>4105.7704918032787</v>
      </c>
      <c r="V1367" s="59">
        <f>SUM(Datasheet!V995:V998)/V1371</f>
        <v>4349.2540983606559</v>
      </c>
      <c r="W1367" s="59">
        <f>SUM(Datasheet!W995:W998)/W1371</f>
        <v>4501.311475409836</v>
      </c>
      <c r="X1367" s="59">
        <f>SUM(Datasheet!X995:X998)/X1371</f>
        <v>4684.0737704918029</v>
      </c>
      <c r="Y1367" s="59">
        <f>SUM(Datasheet!Y995:Y998)/Y1371</f>
        <v>4832.0245901639346</v>
      </c>
      <c r="Z1367" s="59">
        <f>SUM(Datasheet!Z995:Z998)/Z1371</f>
        <v>3923.9180327868853</v>
      </c>
      <c r="AA1367" s="59">
        <f>SUM(Datasheet!AA995:AA998)/AA1371</f>
        <v>1817.9754098360656</v>
      </c>
      <c r="AB1367" s="59">
        <f>SUM(Datasheet!AB995:AB998)/AB1371</f>
        <v>0</v>
      </c>
      <c r="AC1367" s="59">
        <f>SUM(Datasheet!AC995:AC998)/AC1371</f>
        <v>0</v>
      </c>
      <c r="AD1367" s="59">
        <f>SUM(Datasheet!AD995:AD998)/AD1371</f>
        <v>0</v>
      </c>
      <c r="AE1367" s="59">
        <f>SUM(Datasheet!AE995:AE998)/AE1371</f>
        <v>0</v>
      </c>
      <c r="AF1367" s="59">
        <f>SUM(Datasheet!AF995:AF998)/AF1371</f>
        <v>0</v>
      </c>
      <c r="AG1367" s="59">
        <f>SUM(Datasheet!AG995:AG998)/AG1371</f>
        <v>0</v>
      </c>
      <c r="AH1367" s="59">
        <f>SUM(Datasheet!AH995:AH998)/AH1371</f>
        <v>0</v>
      </c>
      <c r="AI1367" s="59">
        <f>SUM(Datasheet!AI995:AI998)/AI1371</f>
        <v>0</v>
      </c>
      <c r="AJ1367" s="59">
        <f>SUM(Datasheet!AJ995:AJ998)/AJ1371</f>
        <v>0</v>
      </c>
      <c r="AK1367" s="59">
        <f>SUM(Datasheet!AK995:AK998)/AK1371</f>
        <v>0</v>
      </c>
    </row>
    <row r="1368" spans="1:37" x14ac:dyDescent="0.25">
      <c r="G1368" t="s">
        <v>463</v>
      </c>
      <c r="H1368" s="223" t="s">
        <v>1514</v>
      </c>
      <c r="Q1368" s="137">
        <f>9326/Q1372</f>
        <v>77.074380165289256</v>
      </c>
      <c r="R1368" s="137">
        <f>8965/R1372</f>
        <v>74.090909090909093</v>
      </c>
      <c r="S1368" s="137">
        <f>15163/S1372</f>
        <v>125.31404958677686</v>
      </c>
      <c r="T1368" s="137">
        <f>15660/T1372</f>
        <v>129.42148760330579</v>
      </c>
      <c r="U1368" s="137">
        <f>17564/U1372</f>
        <v>145.15702479338842</v>
      </c>
      <c r="V1368" s="59">
        <f>SUM(Datasheet!V990:V992,Datasheet!V1001)/V1372</f>
        <v>122.09090909090909</v>
      </c>
      <c r="W1368" s="59">
        <f>SUM(Datasheet!W990:W992,Datasheet!W1001)/W1372</f>
        <v>123.11570247933884</v>
      </c>
      <c r="X1368" s="59">
        <f>SUM(Datasheet!X990:X992,Datasheet!X1001)/X1372</f>
        <v>130</v>
      </c>
      <c r="Y1368" s="59">
        <f>SUM(Datasheet!Y990:Y992,Datasheet!Y1001)/Y1372</f>
        <v>134.57851239669421</v>
      </c>
      <c r="Z1368" s="59">
        <f>SUM(Datasheet!Z990:Z992,Datasheet!Z1001)/Z1372</f>
        <v>121</v>
      </c>
      <c r="AA1368" s="59">
        <f>SUM(Datasheet!AA990:AA992,Datasheet!AA1001)/AA1372</f>
        <v>106.09090909090909</v>
      </c>
      <c r="AB1368" s="59">
        <f>SUM(Datasheet!AB990:AB992,Datasheet!AB1001)/AB1372</f>
        <v>0</v>
      </c>
      <c r="AC1368" s="59">
        <f>SUM(Datasheet!AC990:AC992,Datasheet!AC1001)/AC1372</f>
        <v>0</v>
      </c>
      <c r="AD1368" s="59">
        <f>SUM(Datasheet!AD990:AD992,Datasheet!AD1001)/AD1372</f>
        <v>0</v>
      </c>
      <c r="AE1368" s="59">
        <f>SUM(Datasheet!AE990:AE992,Datasheet!AE1001)/AE1372</f>
        <v>0</v>
      </c>
      <c r="AF1368" s="59">
        <f>SUM(Datasheet!AF990:AF992,Datasheet!AF1001)/AF1372</f>
        <v>0</v>
      </c>
      <c r="AG1368" s="59">
        <f>SUM(Datasheet!AG990:AG992,Datasheet!AG1001)/AG1372</f>
        <v>0</v>
      </c>
      <c r="AH1368" s="59">
        <f>SUM(Datasheet!AH990:AH992,Datasheet!AH1001)/AH1372</f>
        <v>0</v>
      </c>
      <c r="AI1368" s="59">
        <f>SUM(Datasheet!AI990:AI992,Datasheet!AI1001)/AI1372</f>
        <v>0</v>
      </c>
      <c r="AJ1368" s="59">
        <f>SUM(Datasheet!AJ990:AJ992,Datasheet!AJ1001)/AJ1372</f>
        <v>0</v>
      </c>
      <c r="AK1368" s="59">
        <f>SUM(Datasheet!AK990:AK992,Datasheet!AK1001)/AK1372</f>
        <v>0</v>
      </c>
    </row>
    <row r="1369" spans="1:37" x14ac:dyDescent="0.25">
      <c r="G1369" t="s">
        <v>464</v>
      </c>
      <c r="H1369" s="223" t="s">
        <v>1514</v>
      </c>
      <c r="Q1369" s="137">
        <f>41677/Q1373</f>
        <v>341.61475409836066</v>
      </c>
      <c r="R1369" s="137">
        <f>35356/R1373</f>
        <v>289.80327868852459</v>
      </c>
      <c r="S1369" s="137">
        <f>36850/S1373</f>
        <v>302.04918032786884</v>
      </c>
      <c r="T1369" s="137">
        <f>28832/T1373</f>
        <v>236.32786885245901</v>
      </c>
      <c r="U1369" s="137">
        <f>43242/U1373</f>
        <v>354.44262295081967</v>
      </c>
      <c r="V1369" s="59">
        <f>SUM(Datasheet!V993:V994,Datasheet!V999:V1000)/V1373</f>
        <v>423.18852459016392</v>
      </c>
      <c r="W1369" s="59">
        <f>SUM(Datasheet!W993:W994,Datasheet!W999:W1000)/W1373</f>
        <v>394.5409836065574</v>
      </c>
      <c r="X1369" s="59">
        <f>SUM(Datasheet!X993:X994,Datasheet!X999:X1000)/X1373</f>
        <v>443.8360655737705</v>
      </c>
      <c r="Y1369" s="59">
        <f>SUM(Datasheet!Y993:Y994,Datasheet!Y999:Y1000)/Y1373</f>
        <v>295.79508196721309</v>
      </c>
      <c r="Z1369" s="59">
        <f>SUM(Datasheet!Z993:Z994,Datasheet!Z999:Z1000)/Z1373</f>
        <v>360.20491803278691</v>
      </c>
      <c r="AA1369" s="59">
        <f>SUM(Datasheet!AA993:AA994,Datasheet!AA999:AA1000)/AA1373</f>
        <v>79.172131147540981</v>
      </c>
      <c r="AB1369" s="59">
        <f>SUM(Datasheet!AB993:AB994,Datasheet!AB999:AB1000)/AB1373</f>
        <v>0</v>
      </c>
      <c r="AC1369" s="59">
        <f>SUM(Datasheet!AC993:AC994,Datasheet!AC999:AC1000)/AC1373</f>
        <v>0</v>
      </c>
      <c r="AD1369" s="59">
        <f>SUM(Datasheet!AD993:AD994,Datasheet!AD999:AD1000)/AD1373</f>
        <v>0</v>
      </c>
      <c r="AE1369" s="59">
        <f>SUM(Datasheet!AE993:AE994,Datasheet!AE999:AE1000)/AE1373</f>
        <v>0</v>
      </c>
      <c r="AF1369" s="59">
        <f>SUM(Datasheet!AF993:AF994,Datasheet!AF999:AF1000)/AF1373</f>
        <v>0</v>
      </c>
      <c r="AG1369" s="59">
        <f>SUM(Datasheet!AG993:AG994,Datasheet!AG999:AG1000)/AG1373</f>
        <v>0</v>
      </c>
      <c r="AH1369" s="59">
        <f>SUM(Datasheet!AH993:AH994,Datasheet!AH999:AH1000)/AH1373</f>
        <v>0</v>
      </c>
      <c r="AI1369" s="59">
        <f>SUM(Datasheet!AI993:AI994,Datasheet!AI999:AI1000)/AI1373</f>
        <v>0</v>
      </c>
      <c r="AJ1369" s="59">
        <f>SUM(Datasheet!AJ993:AJ994,Datasheet!AJ999:AJ1000)/AJ1373</f>
        <v>0</v>
      </c>
      <c r="AK1369" s="59">
        <f>SUM(Datasheet!AK993:AK994,Datasheet!AK999:AK1000)/AK1373</f>
        <v>0</v>
      </c>
    </row>
    <row r="1370" spans="1:37" x14ac:dyDescent="0.25">
      <c r="F1370" t="s">
        <v>491</v>
      </c>
    </row>
    <row r="1371" spans="1:37" x14ac:dyDescent="0.25">
      <c r="E1371" s="202"/>
      <c r="G1371" t="s">
        <v>462</v>
      </c>
      <c r="H1371" t="s">
        <v>1319</v>
      </c>
      <c r="Q1371">
        <v>122</v>
      </c>
      <c r="R1371">
        <v>122</v>
      </c>
      <c r="S1371">
        <v>122</v>
      </c>
      <c r="T1371">
        <v>122</v>
      </c>
      <c r="U1371">
        <v>122</v>
      </c>
      <c r="V1371">
        <v>122</v>
      </c>
      <c r="W1371">
        <v>122</v>
      </c>
      <c r="X1371">
        <v>122</v>
      </c>
      <c r="Y1371">
        <v>122</v>
      </c>
      <c r="Z1371">
        <v>122</v>
      </c>
      <c r="AA1371">
        <v>122</v>
      </c>
      <c r="AB1371">
        <v>122</v>
      </c>
      <c r="AC1371">
        <v>122</v>
      </c>
      <c r="AD1371">
        <v>122</v>
      </c>
      <c r="AE1371">
        <v>122</v>
      </c>
      <c r="AF1371">
        <v>122</v>
      </c>
      <c r="AG1371">
        <v>122</v>
      </c>
      <c r="AH1371">
        <v>122</v>
      </c>
      <c r="AI1371">
        <v>122</v>
      </c>
      <c r="AJ1371">
        <v>122</v>
      </c>
      <c r="AK1371">
        <v>122</v>
      </c>
    </row>
    <row r="1372" spans="1:37" x14ac:dyDescent="0.25">
      <c r="E1372" s="202"/>
      <c r="G1372" t="s">
        <v>463</v>
      </c>
      <c r="H1372" t="s">
        <v>1319</v>
      </c>
      <c r="Q1372">
        <v>121</v>
      </c>
      <c r="R1372">
        <v>121</v>
      </c>
      <c r="S1372">
        <v>121</v>
      </c>
      <c r="T1372">
        <v>121</v>
      </c>
      <c r="U1372">
        <v>121</v>
      </c>
      <c r="V1372">
        <v>121</v>
      </c>
      <c r="W1372">
        <v>121</v>
      </c>
      <c r="X1372">
        <v>121</v>
      </c>
      <c r="Y1372">
        <v>121</v>
      </c>
      <c r="Z1372">
        <v>121</v>
      </c>
      <c r="AA1372">
        <v>121</v>
      </c>
      <c r="AB1372">
        <v>121</v>
      </c>
      <c r="AC1372">
        <v>121</v>
      </c>
      <c r="AD1372">
        <v>121</v>
      </c>
      <c r="AE1372">
        <v>121</v>
      </c>
      <c r="AF1372">
        <v>121</v>
      </c>
      <c r="AG1372">
        <v>121</v>
      </c>
      <c r="AH1372">
        <v>121</v>
      </c>
      <c r="AI1372">
        <v>121</v>
      </c>
      <c r="AJ1372">
        <v>121</v>
      </c>
      <c r="AK1372">
        <v>121</v>
      </c>
    </row>
    <row r="1373" spans="1:37" x14ac:dyDescent="0.25">
      <c r="E1373" s="202"/>
      <c r="G1373" t="s">
        <v>464</v>
      </c>
      <c r="H1373" t="s">
        <v>1319</v>
      </c>
      <c r="Q1373">
        <v>122</v>
      </c>
      <c r="R1373">
        <v>122</v>
      </c>
      <c r="S1373">
        <v>122</v>
      </c>
      <c r="T1373">
        <v>122</v>
      </c>
      <c r="U1373">
        <v>122</v>
      </c>
      <c r="V1373">
        <v>122</v>
      </c>
      <c r="W1373">
        <v>122</v>
      </c>
      <c r="X1373">
        <v>122</v>
      </c>
      <c r="Y1373">
        <v>122</v>
      </c>
      <c r="Z1373">
        <v>122</v>
      </c>
      <c r="AA1373">
        <v>122</v>
      </c>
      <c r="AB1373">
        <v>122</v>
      </c>
      <c r="AC1373">
        <v>122</v>
      </c>
      <c r="AD1373">
        <v>122</v>
      </c>
      <c r="AE1373">
        <v>122</v>
      </c>
      <c r="AF1373">
        <v>122</v>
      </c>
      <c r="AG1373">
        <v>122</v>
      </c>
      <c r="AH1373">
        <v>122</v>
      </c>
      <c r="AI1373">
        <v>122</v>
      </c>
      <c r="AJ1373">
        <v>122</v>
      </c>
      <c r="AK1373">
        <v>122</v>
      </c>
    </row>
    <row r="1374" spans="1:37" s="250" customFormat="1" x14ac:dyDescent="0.25">
      <c r="B1374" s="251"/>
      <c r="C1374" s="252"/>
      <c r="I1374" s="253"/>
      <c r="J1374" s="253"/>
      <c r="K1374" s="253"/>
      <c r="L1374" s="253"/>
      <c r="M1374" s="253"/>
      <c r="N1374" s="253"/>
      <c r="O1374" s="254"/>
      <c r="P1374" s="254"/>
      <c r="Q1374" s="254"/>
      <c r="R1374" s="254"/>
      <c r="S1374" s="254"/>
      <c r="T1374" s="254"/>
      <c r="U1374" s="254"/>
      <c r="V1374" s="254"/>
      <c r="W1374" s="254"/>
      <c r="X1374" s="254"/>
      <c r="Y1374" s="254"/>
      <c r="Z1374" s="254"/>
      <c r="AA1374" s="254"/>
      <c r="AB1374" s="254"/>
      <c r="AC1374" s="254"/>
      <c r="AD1374" s="254"/>
      <c r="AE1374" s="254"/>
      <c r="AF1374" s="254"/>
      <c r="AG1374" s="254"/>
      <c r="AH1374" s="254"/>
      <c r="AI1374" s="254"/>
      <c r="AJ1374" s="254"/>
      <c r="AK1374" s="254"/>
    </row>
    <row r="1375" spans="1:37" s="120" customFormat="1" ht="17.25" x14ac:dyDescent="0.3">
      <c r="A1375" s="119" t="s">
        <v>1629</v>
      </c>
    </row>
    <row r="1376" spans="1:37" x14ac:dyDescent="0.25">
      <c r="B1376" s="64" t="s">
        <v>33</v>
      </c>
      <c r="C1376" t="s">
        <v>460</v>
      </c>
    </row>
    <row r="1377" spans="2:3" x14ac:dyDescent="0.25">
      <c r="B1377" s="64"/>
      <c r="C1377" t="s">
        <v>1630</v>
      </c>
    </row>
    <row r="1378" spans="2:3" x14ac:dyDescent="0.25">
      <c r="B1378" s="64" t="s">
        <v>420</v>
      </c>
      <c r="C1378" t="s">
        <v>496</v>
      </c>
    </row>
    <row r="1379" spans="2:3" x14ac:dyDescent="0.25">
      <c r="B1379" s="64" t="s">
        <v>429</v>
      </c>
      <c r="C1379" s="268" t="s">
        <v>273</v>
      </c>
    </row>
    <row r="1380" spans="2:3" x14ac:dyDescent="0.25">
      <c r="B1380" s="64"/>
      <c r="C1380" s="268" t="s">
        <v>330</v>
      </c>
    </row>
    <row r="1381" spans="2:3" x14ac:dyDescent="0.25">
      <c r="B1381" s="64" t="s">
        <v>421</v>
      </c>
      <c r="C1381" t="s">
        <v>499</v>
      </c>
    </row>
    <row r="1382" spans="2:3" x14ac:dyDescent="0.25">
      <c r="B1382" s="64"/>
      <c r="C1382" t="s">
        <v>500</v>
      </c>
    </row>
    <row r="1383" spans="2:3" x14ac:dyDescent="0.25">
      <c r="B1383" s="64"/>
      <c r="C1383" t="s">
        <v>501</v>
      </c>
    </row>
    <row r="1384" spans="2:3" x14ac:dyDescent="0.25">
      <c r="B1384" s="64" t="s">
        <v>425</v>
      </c>
      <c r="C1384" t="s">
        <v>504</v>
      </c>
    </row>
    <row r="1385" spans="2:3" x14ac:dyDescent="0.25">
      <c r="B1385" s="64"/>
      <c r="C1385" t="s">
        <v>505</v>
      </c>
    </row>
    <row r="1386" spans="2:3" x14ac:dyDescent="0.25">
      <c r="B1386" s="64"/>
      <c r="C1386" t="s">
        <v>506</v>
      </c>
    </row>
    <row r="1387" spans="2:3" x14ac:dyDescent="0.25">
      <c r="B1387" s="64" t="s">
        <v>333</v>
      </c>
      <c r="C1387" t="s">
        <v>1631</v>
      </c>
    </row>
    <row r="1388" spans="2:3" x14ac:dyDescent="0.25">
      <c r="B1388" s="64"/>
      <c r="C1388" t="s">
        <v>503</v>
      </c>
    </row>
    <row r="1389" spans="2:3" x14ac:dyDescent="0.25">
      <c r="B1389" s="71" t="s">
        <v>334</v>
      </c>
      <c r="C1389" t="s">
        <v>1632</v>
      </c>
    </row>
    <row r="1390" spans="2:3" x14ac:dyDescent="0.25">
      <c r="B1390" s="71"/>
      <c r="C1390" t="s">
        <v>1633</v>
      </c>
    </row>
    <row r="1391" spans="2:3" s="121" customFormat="1" ht="15.75" thickBot="1" x14ac:dyDescent="0.3">
      <c r="C1391" s="121" t="s">
        <v>502</v>
      </c>
    </row>
    <row r="1392" spans="2:3" ht="15.75" thickTop="1" x14ac:dyDescent="0.25"/>
    <row r="1407" spans="2:37" s="9" customFormat="1" x14ac:dyDescent="0.25">
      <c r="B1407" s="66" t="s">
        <v>34</v>
      </c>
      <c r="C1407" s="51" t="s">
        <v>497</v>
      </c>
      <c r="H1407" s="9" t="s">
        <v>1118</v>
      </c>
      <c r="I1407" s="97">
        <f>Datasheet!I240</f>
        <v>23136</v>
      </c>
      <c r="J1407" s="97">
        <f>Datasheet!J240</f>
        <v>23137</v>
      </c>
      <c r="K1407" s="97">
        <f>Datasheet!K240</f>
        <v>23668</v>
      </c>
      <c r="L1407" s="97">
        <f>Datasheet!L240</f>
        <v>24464</v>
      </c>
      <c r="M1407" s="97">
        <f>Datasheet!M240</f>
        <v>25714</v>
      </c>
      <c r="N1407" s="97">
        <f>Datasheet!N240</f>
        <v>27029</v>
      </c>
      <c r="O1407" s="97">
        <f>Datasheet!O240</f>
        <v>28029</v>
      </c>
      <c r="P1407" s="97">
        <f>Datasheet!P240</f>
        <v>26773</v>
      </c>
      <c r="Q1407" s="97">
        <f>Datasheet!Q240</f>
        <v>26308</v>
      </c>
      <c r="R1407" s="97">
        <f>Datasheet!R240</f>
        <v>26607</v>
      </c>
      <c r="S1407" s="97">
        <f>Datasheet!S240</f>
        <v>27348</v>
      </c>
      <c r="T1407" s="97">
        <f>Datasheet!T240</f>
        <v>28653</v>
      </c>
      <c r="U1407" s="97">
        <f>Datasheet!U240</f>
        <v>29898</v>
      </c>
      <c r="V1407" s="97">
        <f>Datasheet!V240</f>
        <v>30711</v>
      </c>
      <c r="W1407" s="97">
        <f>Datasheet!W240</f>
        <v>32071</v>
      </c>
      <c r="X1407" s="97">
        <f>Datasheet!X240</f>
        <v>32741</v>
      </c>
      <c r="Y1407" s="97">
        <f>Datasheet!Y240</f>
        <v>33629</v>
      </c>
      <c r="Z1407" s="97">
        <f>_xlfn.FORECAST.LINEAR(Z2,T1407:Y1407,T2:Y2)</f>
        <v>34760.733333333163</v>
      </c>
      <c r="AA1407" s="97">
        <f>Datasheet!AA240</f>
        <v>0</v>
      </c>
      <c r="AB1407" s="97">
        <f>Datasheet!AB240</f>
        <v>0</v>
      </c>
      <c r="AC1407" s="97">
        <f>Datasheet!AC240</f>
        <v>0</v>
      </c>
      <c r="AD1407" s="97">
        <f>Datasheet!AD240</f>
        <v>0</v>
      </c>
      <c r="AE1407" s="97">
        <f>Datasheet!AE240</f>
        <v>0</v>
      </c>
      <c r="AF1407" s="97">
        <f>Datasheet!AF240</f>
        <v>0</v>
      </c>
      <c r="AG1407" s="97">
        <f>Datasheet!AG240</f>
        <v>0</v>
      </c>
      <c r="AH1407" s="97">
        <f>Datasheet!AH240</f>
        <v>0</v>
      </c>
      <c r="AI1407" s="97">
        <f>Datasheet!AI240</f>
        <v>0</v>
      </c>
      <c r="AJ1407" s="97">
        <f>Datasheet!AJ240</f>
        <v>0</v>
      </c>
      <c r="AK1407" s="97">
        <f>Datasheet!AK240</f>
        <v>0</v>
      </c>
    </row>
    <row r="1408" spans="2:37" s="9" customFormat="1" x14ac:dyDescent="0.25">
      <c r="B1408" s="66"/>
      <c r="C1408" s="51" t="s">
        <v>498</v>
      </c>
      <c r="H1408" s="9" t="s">
        <v>1514</v>
      </c>
      <c r="I1408" s="97">
        <f>Datasheet!I392</f>
        <v>13378.416666666666</v>
      </c>
      <c r="J1408" s="97">
        <f>Datasheet!J392</f>
        <v>13232.916666666666</v>
      </c>
      <c r="K1408" s="97">
        <f>Datasheet!K392</f>
        <v>13291.083333333334</v>
      </c>
      <c r="L1408" s="97">
        <f>Datasheet!L392</f>
        <v>13343.666666666666</v>
      </c>
      <c r="M1408" s="97">
        <f>Datasheet!M392</f>
        <v>13576.75</v>
      </c>
      <c r="N1408" s="97">
        <f>Datasheet!N392</f>
        <v>14058</v>
      </c>
      <c r="O1408" s="97">
        <f>Datasheet!O392</f>
        <v>14036.416666666666</v>
      </c>
      <c r="P1408" s="97">
        <f>Datasheet!P392</f>
        <v>12917.416666666666</v>
      </c>
      <c r="Q1408" s="97">
        <f>Datasheet!Q392</f>
        <v>12569.333333333334</v>
      </c>
      <c r="R1408" s="97">
        <f>Datasheet!R392</f>
        <v>12613.666666666666</v>
      </c>
      <c r="S1408" s="97">
        <f>Datasheet!S392</f>
        <v>12880.75</v>
      </c>
      <c r="T1408" s="97">
        <f>Datasheet!T392</f>
        <v>13318</v>
      </c>
      <c r="U1408" s="97">
        <f>Datasheet!U392</f>
        <v>13751.166666666666</v>
      </c>
      <c r="V1408" s="97">
        <f>Datasheet!V392</f>
        <v>14118.5</v>
      </c>
      <c r="W1408" s="97">
        <f>Datasheet!W392</f>
        <v>14708.25</v>
      </c>
      <c r="X1408" s="97">
        <f>Datasheet!X392</f>
        <v>14993.583333333334</v>
      </c>
      <c r="Y1408" s="97">
        <f>Datasheet!Y392</f>
        <v>14958.833333333334</v>
      </c>
      <c r="Z1408" s="97">
        <f>Datasheet!Z392</f>
        <v>15151.416666666666</v>
      </c>
      <c r="AA1408" s="97">
        <f>Datasheet!AA392</f>
        <v>13667</v>
      </c>
      <c r="AB1408" s="97" t="e">
        <f>Datasheet!AB392</f>
        <v>#DIV/0!</v>
      </c>
      <c r="AC1408" s="97" t="e">
        <f>Datasheet!AC392</f>
        <v>#DIV/0!</v>
      </c>
      <c r="AD1408" s="97" t="e">
        <f>Datasheet!AD392</f>
        <v>#DIV/0!</v>
      </c>
      <c r="AE1408" s="97" t="e">
        <f>Datasheet!AE392</f>
        <v>#DIV/0!</v>
      </c>
      <c r="AF1408" s="97" t="e">
        <f>Datasheet!AF392</f>
        <v>#DIV/0!</v>
      </c>
      <c r="AG1408" s="97" t="e">
        <f>Datasheet!AG392</f>
        <v>#DIV/0!</v>
      </c>
      <c r="AH1408" s="97" t="e">
        <f>Datasheet!AH392</f>
        <v>#DIV/0!</v>
      </c>
      <c r="AI1408" s="97" t="e">
        <f>Datasheet!AI392</f>
        <v>#DIV/0!</v>
      </c>
      <c r="AJ1408" s="97" t="e">
        <f>Datasheet!AJ392</f>
        <v>#DIV/0!</v>
      </c>
      <c r="AK1408" s="97" t="e">
        <f>Datasheet!AK392</f>
        <v>#DIV/0!</v>
      </c>
    </row>
    <row r="1409" spans="1:37" x14ac:dyDescent="0.25">
      <c r="C1409" t="s">
        <v>1634</v>
      </c>
      <c r="I1409" s="122">
        <f>I1408/I1407*$L1410/($L1408/$L1407)</f>
        <v>0.72090433734740789</v>
      </c>
      <c r="J1409" s="122">
        <f t="shared" ref="J1409:AK1409" si="209">J1408/J1407*$L1410/($L1408/$L1407)</f>
        <v>0.71303315977141968</v>
      </c>
      <c r="K1409" s="122">
        <f t="shared" si="209"/>
        <v>0.70009990170411596</v>
      </c>
      <c r="L1409" s="122">
        <f t="shared" si="209"/>
        <v>0.68</v>
      </c>
      <c r="M1409" s="122">
        <f t="shared" si="209"/>
        <v>0.65824471031450593</v>
      </c>
      <c r="N1409" s="122">
        <f t="shared" si="209"/>
        <v>0.64841754418231101</v>
      </c>
      <c r="O1409" s="122">
        <f t="shared" si="209"/>
        <v>0.62432373282392617</v>
      </c>
      <c r="P1409" s="122">
        <f t="shared" si="209"/>
        <v>0.60150581028758121</v>
      </c>
      <c r="Q1409" s="122">
        <f t="shared" si="209"/>
        <v>0.59564240268148294</v>
      </c>
      <c r="R1409" s="122">
        <f t="shared" si="209"/>
        <v>0.59102606830103188</v>
      </c>
      <c r="S1409" s="122">
        <f t="shared" si="209"/>
        <v>0.58718746547555534</v>
      </c>
      <c r="T1409" s="122">
        <f t="shared" si="209"/>
        <v>0.57946886618843596</v>
      </c>
      <c r="U1409" s="122">
        <f t="shared" si="209"/>
        <v>0.5734012093534061</v>
      </c>
      <c r="V1409" s="122">
        <f t="shared" si="209"/>
        <v>0.573133503277658</v>
      </c>
      <c r="W1409" s="122">
        <f t="shared" si="209"/>
        <v>0.57175463977221164</v>
      </c>
      <c r="X1409" s="122">
        <f t="shared" si="209"/>
        <v>0.57091926006207483</v>
      </c>
      <c r="Y1409" s="122">
        <f t="shared" si="209"/>
        <v>0.55455543563063925</v>
      </c>
      <c r="Z1409" s="122">
        <f t="shared" si="209"/>
        <v>0.54340734942044422</v>
      </c>
      <c r="AA1409" s="122" t="e">
        <f t="shared" si="209"/>
        <v>#DIV/0!</v>
      </c>
      <c r="AB1409" s="122" t="e">
        <f t="shared" si="209"/>
        <v>#DIV/0!</v>
      </c>
      <c r="AC1409" s="122" t="e">
        <f t="shared" si="209"/>
        <v>#DIV/0!</v>
      </c>
      <c r="AD1409" s="122" t="e">
        <f t="shared" si="209"/>
        <v>#DIV/0!</v>
      </c>
      <c r="AE1409" s="122" t="e">
        <f t="shared" si="209"/>
        <v>#DIV/0!</v>
      </c>
      <c r="AF1409" s="122" t="e">
        <f t="shared" si="209"/>
        <v>#DIV/0!</v>
      </c>
      <c r="AG1409" s="122" t="e">
        <f t="shared" si="209"/>
        <v>#DIV/0!</v>
      </c>
      <c r="AH1409" s="122" t="e">
        <f t="shared" si="209"/>
        <v>#DIV/0!</v>
      </c>
      <c r="AI1409" s="122" t="e">
        <f t="shared" si="209"/>
        <v>#DIV/0!</v>
      </c>
      <c r="AJ1409" s="122" t="e">
        <f t="shared" si="209"/>
        <v>#DIV/0!</v>
      </c>
      <c r="AK1409" s="122" t="e">
        <f t="shared" si="209"/>
        <v>#DIV/0!</v>
      </c>
    </row>
    <row r="1410" spans="1:37" x14ac:dyDescent="0.25">
      <c r="C1410" s="202"/>
      <c r="D1410" t="s">
        <v>1635</v>
      </c>
      <c r="L1410" s="118">
        <v>0.68</v>
      </c>
    </row>
    <row r="1411" spans="1:37" x14ac:dyDescent="0.25">
      <c r="C1411" t="s">
        <v>1636</v>
      </c>
      <c r="I1411" s="122">
        <f>I1408/I1407*$U1412/($U1408/$U1407)</f>
        <v>0.77949031474734165</v>
      </c>
      <c r="J1411" s="122">
        <f t="shared" ref="J1411:AK1411" si="210">J1408/J1407*$U1412/($U1408/$U1407)</f>
        <v>0.77097946751244351</v>
      </c>
      <c r="K1411" s="122">
        <f t="shared" si="210"/>
        <v>0.75699515797328076</v>
      </c>
      <c r="L1411" s="122">
        <f t="shared" si="210"/>
        <v>0.73526179073709286</v>
      </c>
      <c r="M1411" s="122">
        <f t="shared" si="210"/>
        <v>0.71173850654273907</v>
      </c>
      <c r="N1411" s="122">
        <f t="shared" si="210"/>
        <v>0.70111271276593234</v>
      </c>
      <c r="O1411" s="122">
        <f t="shared" si="210"/>
        <v>0.67506086146439148</v>
      </c>
      <c r="P1411" s="122">
        <f t="shared" si="210"/>
        <v>0.65038858707472491</v>
      </c>
      <c r="Q1411" s="122">
        <f t="shared" si="210"/>
        <v>0.64404867593313475</v>
      </c>
      <c r="R1411" s="122">
        <f t="shared" si="210"/>
        <v>0.63905718434017644</v>
      </c>
      <c r="S1411" s="122">
        <f t="shared" si="210"/>
        <v>0.63490662847637003</v>
      </c>
      <c r="T1411" s="122">
        <f t="shared" si="210"/>
        <v>0.62656075916191512</v>
      </c>
      <c r="U1411" s="122">
        <f t="shared" si="210"/>
        <v>0.62</v>
      </c>
      <c r="V1411" s="122">
        <f t="shared" si="210"/>
        <v>0.61971053816375632</v>
      </c>
      <c r="W1411" s="122">
        <f t="shared" si="210"/>
        <v>0.61821961808993786</v>
      </c>
      <c r="X1411" s="122">
        <f t="shared" si="210"/>
        <v>0.61731634929343693</v>
      </c>
      <c r="Y1411" s="122">
        <f t="shared" si="210"/>
        <v>0.59962268038937105</v>
      </c>
      <c r="Z1411" s="122">
        <f t="shared" si="210"/>
        <v>0.58756861887437195</v>
      </c>
      <c r="AA1411" s="122" t="e">
        <f t="shared" si="210"/>
        <v>#DIV/0!</v>
      </c>
      <c r="AB1411" s="122" t="e">
        <f t="shared" si="210"/>
        <v>#DIV/0!</v>
      </c>
      <c r="AC1411" s="122" t="e">
        <f t="shared" si="210"/>
        <v>#DIV/0!</v>
      </c>
      <c r="AD1411" s="122" t="e">
        <f t="shared" si="210"/>
        <v>#DIV/0!</v>
      </c>
      <c r="AE1411" s="122" t="e">
        <f t="shared" si="210"/>
        <v>#DIV/0!</v>
      </c>
      <c r="AF1411" s="122" t="e">
        <f t="shared" si="210"/>
        <v>#DIV/0!</v>
      </c>
      <c r="AG1411" s="122" t="e">
        <f t="shared" si="210"/>
        <v>#DIV/0!</v>
      </c>
      <c r="AH1411" s="122" t="e">
        <f t="shared" si="210"/>
        <v>#DIV/0!</v>
      </c>
      <c r="AI1411" s="122" t="e">
        <f t="shared" si="210"/>
        <v>#DIV/0!</v>
      </c>
      <c r="AJ1411" s="122" t="e">
        <f t="shared" si="210"/>
        <v>#DIV/0!</v>
      </c>
      <c r="AK1411" s="122" t="e">
        <f t="shared" si="210"/>
        <v>#DIV/0!</v>
      </c>
    </row>
    <row r="1412" spans="1:37" x14ac:dyDescent="0.25">
      <c r="C1412" s="202"/>
      <c r="D1412" t="s">
        <v>1637</v>
      </c>
      <c r="U1412" s="118">
        <v>0.62</v>
      </c>
    </row>
    <row r="1413" spans="1:37" s="249" customFormat="1" x14ac:dyDescent="0.25"/>
    <row r="1414" spans="1:37" s="120" customFormat="1" ht="17.25" x14ac:dyDescent="0.3">
      <c r="A1414" s="119" t="s">
        <v>1398</v>
      </c>
    </row>
    <row r="1415" spans="1:37" s="223" customFormat="1" x14ac:dyDescent="0.25">
      <c r="B1415" s="64" t="s">
        <v>33</v>
      </c>
      <c r="C1415" s="223" t="s">
        <v>460</v>
      </c>
    </row>
    <row r="1416" spans="1:37" s="223" customFormat="1" x14ac:dyDescent="0.25">
      <c r="B1416" s="64"/>
      <c r="C1416" s="223" t="s">
        <v>1399</v>
      </c>
    </row>
    <row r="1417" spans="1:37" s="223" customFormat="1" x14ac:dyDescent="0.25">
      <c r="B1417" s="64"/>
      <c r="D1417" s="223" t="s">
        <v>1400</v>
      </c>
    </row>
    <row r="1418" spans="1:37" s="223" customFormat="1" x14ac:dyDescent="0.25">
      <c r="B1418" s="64" t="s">
        <v>420</v>
      </c>
      <c r="C1418" s="223" t="s">
        <v>467</v>
      </c>
    </row>
    <row r="1419" spans="1:37" s="223" customFormat="1" x14ac:dyDescent="0.25">
      <c r="B1419" s="64" t="s">
        <v>429</v>
      </c>
      <c r="C1419" s="268" t="s">
        <v>642</v>
      </c>
    </row>
    <row r="1420" spans="1:37" s="223" customFormat="1" x14ac:dyDescent="0.25">
      <c r="B1420" s="64"/>
      <c r="C1420" s="268" t="s">
        <v>1401</v>
      </c>
    </row>
    <row r="1421" spans="1:37" s="223" customFormat="1" x14ac:dyDescent="0.25">
      <c r="B1421" s="64"/>
      <c r="C1421" s="268" t="s">
        <v>369</v>
      </c>
    </row>
    <row r="1422" spans="1:37" s="223" customFormat="1" x14ac:dyDescent="0.25">
      <c r="B1422" s="64" t="s">
        <v>421</v>
      </c>
      <c r="C1422" s="223" t="s">
        <v>1638</v>
      </c>
    </row>
    <row r="1423" spans="1:37" s="223" customFormat="1" x14ac:dyDescent="0.25">
      <c r="B1423" s="64"/>
      <c r="D1423" s="223" t="s">
        <v>1405</v>
      </c>
    </row>
    <row r="1424" spans="1:37" s="223" customFormat="1" x14ac:dyDescent="0.25">
      <c r="B1424" s="64" t="s">
        <v>425</v>
      </c>
      <c r="C1424" s="223" t="s">
        <v>1406</v>
      </c>
    </row>
    <row r="1425" spans="2:3" s="223" customFormat="1" x14ac:dyDescent="0.25">
      <c r="B1425" s="64" t="s">
        <v>333</v>
      </c>
      <c r="C1425" s="223" t="s">
        <v>1407</v>
      </c>
    </row>
    <row r="1426" spans="2:3" s="121" customFormat="1" ht="15.75" thickBot="1" x14ac:dyDescent="0.3">
      <c r="B1426" s="130" t="s">
        <v>334</v>
      </c>
    </row>
    <row r="1427" spans="2:3" s="223" customFormat="1" ht="15.75" thickTop="1" x14ac:dyDescent="0.25"/>
    <row r="1428" spans="2:3" s="223" customFormat="1" x14ac:dyDescent="0.25"/>
    <row r="1429" spans="2:3" s="223" customFormat="1" x14ac:dyDescent="0.25"/>
    <row r="1430" spans="2:3" s="223" customFormat="1" x14ac:dyDescent="0.25"/>
    <row r="1431" spans="2:3" s="223" customFormat="1" x14ac:dyDescent="0.25"/>
    <row r="1432" spans="2:3" s="223" customFormat="1" x14ac:dyDescent="0.25"/>
    <row r="1433" spans="2:3" s="223" customFormat="1" x14ac:dyDescent="0.25"/>
    <row r="1434" spans="2:3" s="223" customFormat="1" x14ac:dyDescent="0.25"/>
    <row r="1435" spans="2:3" s="223" customFormat="1" x14ac:dyDescent="0.25"/>
    <row r="1436" spans="2:3" s="223" customFormat="1" x14ac:dyDescent="0.25"/>
    <row r="1437" spans="2:3" s="223" customFormat="1" x14ac:dyDescent="0.25"/>
    <row r="1438" spans="2:3" s="223" customFormat="1" x14ac:dyDescent="0.25"/>
    <row r="1439" spans="2:3" s="223" customFormat="1" x14ac:dyDescent="0.25"/>
    <row r="1440" spans="2:3" s="223" customFormat="1" x14ac:dyDescent="0.25"/>
    <row r="1441" spans="2:37" s="223" customFormat="1" x14ac:dyDescent="0.25"/>
    <row r="1442" spans="2:37" s="9" customFormat="1" x14ac:dyDescent="0.25">
      <c r="B1442" s="66" t="s">
        <v>34</v>
      </c>
      <c r="C1442" s="51" t="s">
        <v>1408</v>
      </c>
      <c r="H1442" s="9" t="s">
        <v>1411</v>
      </c>
      <c r="I1442" s="86">
        <f>300%</f>
        <v>3</v>
      </c>
      <c r="J1442" s="86">
        <f>300%</f>
        <v>3</v>
      </c>
      <c r="K1442" s="86">
        <f>300%</f>
        <v>3</v>
      </c>
      <c r="L1442" s="86">
        <f>300%</f>
        <v>3</v>
      </c>
      <c r="M1442" s="86">
        <f>300%</f>
        <v>3</v>
      </c>
      <c r="N1442" s="86">
        <f>300%</f>
        <v>3</v>
      </c>
      <c r="O1442" s="86">
        <f>300%</f>
        <v>3</v>
      </c>
      <c r="P1442" s="86">
        <f>300%</f>
        <v>3</v>
      </c>
      <c r="Q1442" s="86">
        <f>300%</f>
        <v>3</v>
      </c>
      <c r="R1442" s="86">
        <f>300%</f>
        <v>3</v>
      </c>
      <c r="S1442" s="86">
        <f>300%</f>
        <v>3</v>
      </c>
      <c r="T1442" s="86">
        <f>300%</f>
        <v>3</v>
      </c>
      <c r="U1442" s="86">
        <f>300%</f>
        <v>3</v>
      </c>
      <c r="V1442" s="86">
        <f>300%</f>
        <v>3</v>
      </c>
      <c r="W1442" s="86">
        <f>300%</f>
        <v>3</v>
      </c>
      <c r="X1442" s="86">
        <f>300%</f>
        <v>3</v>
      </c>
      <c r="Y1442" s="86">
        <f>300%</f>
        <v>3</v>
      </c>
      <c r="Z1442" s="86">
        <f>300%</f>
        <v>3</v>
      </c>
      <c r="AA1442" s="86">
        <f>300%</f>
        <v>3</v>
      </c>
      <c r="AB1442" s="86">
        <f>300%</f>
        <v>3</v>
      </c>
      <c r="AC1442" s="86">
        <f>300%</f>
        <v>3</v>
      </c>
      <c r="AD1442" s="86">
        <f>300%</f>
        <v>3</v>
      </c>
      <c r="AE1442" s="86">
        <f>300%</f>
        <v>3</v>
      </c>
      <c r="AF1442" s="86">
        <f>300%</f>
        <v>3</v>
      </c>
      <c r="AG1442" s="86">
        <f>300%</f>
        <v>3</v>
      </c>
      <c r="AH1442" s="86">
        <f>300%</f>
        <v>3</v>
      </c>
      <c r="AI1442" s="86">
        <f>300%</f>
        <v>3</v>
      </c>
      <c r="AJ1442" s="86">
        <f>300%</f>
        <v>3</v>
      </c>
      <c r="AK1442" s="86">
        <f>300%</f>
        <v>3</v>
      </c>
    </row>
    <row r="1443" spans="2:37" s="9" customFormat="1" x14ac:dyDescent="0.25">
      <c r="B1443" s="66"/>
      <c r="C1443" s="51" t="s">
        <v>1409</v>
      </c>
      <c r="H1443" s="9" t="s">
        <v>1411</v>
      </c>
      <c r="I1443" s="86"/>
      <c r="J1443" s="86">
        <f>Datasheet!J796/Datasheet!J765</f>
        <v>6.437768240343348</v>
      </c>
      <c r="K1443" s="86">
        <f>Datasheet!K796/Datasheet!K765</f>
        <v>6.0590969455511292</v>
      </c>
      <c r="L1443" s="86">
        <f>Datasheet!L796/Datasheet!L765</f>
        <v>8.053691275167786</v>
      </c>
      <c r="M1443" s="86">
        <f>Datasheet!M796/Datasheet!M765</f>
        <v>9.1946308724832218</v>
      </c>
      <c r="N1443" s="86">
        <f>Datasheet!N796/Datasheet!N765</f>
        <v>10.738255033557047</v>
      </c>
      <c r="O1443" s="86">
        <f>Datasheet!O796/Datasheet!O765</f>
        <v>11.437575030012004</v>
      </c>
      <c r="P1443" s="86">
        <f>Datasheet!P796/Datasheet!P765</f>
        <v>9.0363128491620106</v>
      </c>
      <c r="Q1443" s="86">
        <f>Datasheet!Q796/Datasheet!Q765</f>
        <v>8.8826815642458108</v>
      </c>
      <c r="R1443" s="86">
        <f>Datasheet!R796/Datasheet!R765</f>
        <v>6.8493150684931505</v>
      </c>
      <c r="S1443" s="86">
        <f>Datasheet!S796/Datasheet!S765</f>
        <v>6.252598752598753</v>
      </c>
      <c r="T1443" s="86">
        <f>Datasheet!T796/Datasheet!T765</f>
        <v>6.4763551401869162</v>
      </c>
      <c r="U1443" s="86">
        <f>Datasheet!U796/Datasheet!U765</f>
        <v>7.5929752066115705</v>
      </c>
      <c r="V1443" s="86">
        <f>Datasheet!V796/Datasheet!V765</f>
        <v>9.7023153252480707</v>
      </c>
      <c r="W1443" s="86">
        <f>Datasheet!W796/Datasheet!W765</f>
        <v>9.1491841491841495</v>
      </c>
      <c r="X1443" s="86">
        <f>Datasheet!X796/Datasheet!X765</f>
        <v>8.9715536105032818</v>
      </c>
      <c r="Y1443" s="86">
        <f>Datasheet!Y796/Datasheet!Y765</f>
        <v>9.8984771573604053</v>
      </c>
      <c r="Z1443" s="86">
        <f>Datasheet!Z796/Datasheet!Z765</f>
        <v>10.029354207436398</v>
      </c>
      <c r="AA1443" s="86">
        <f>Datasheet!AA796/Datasheet!AA765</f>
        <v>13.098464317976513</v>
      </c>
      <c r="AB1443" s="86">
        <f>Datasheet!AB796/Datasheet!AB765</f>
        <v>0</v>
      </c>
      <c r="AC1443" s="86" t="e">
        <f>Datasheet!AC796/Datasheet!AC765</f>
        <v>#DIV/0!</v>
      </c>
      <c r="AD1443" s="86" t="e">
        <f>Datasheet!AD796/Datasheet!AD765</f>
        <v>#DIV/0!</v>
      </c>
      <c r="AE1443" s="86" t="e">
        <f>Datasheet!AE796/Datasheet!AE765</f>
        <v>#DIV/0!</v>
      </c>
      <c r="AF1443" s="86" t="e">
        <f>Datasheet!AF796/Datasheet!AF765</f>
        <v>#DIV/0!</v>
      </c>
      <c r="AG1443" s="86" t="e">
        <f>Datasheet!AG796/Datasheet!AG765</f>
        <v>#DIV/0!</v>
      </c>
      <c r="AH1443" s="86" t="e">
        <f>Datasheet!AH796/Datasheet!AH765</f>
        <v>#DIV/0!</v>
      </c>
      <c r="AI1443" s="86" t="e">
        <f>Datasheet!AI796/Datasheet!AI765</f>
        <v>#DIV/0!</v>
      </c>
      <c r="AJ1443" s="86" t="e">
        <f>Datasheet!AJ796/Datasheet!AJ765</f>
        <v>#DIV/0!</v>
      </c>
      <c r="AK1443" s="86" t="e">
        <f>Datasheet!AK796/Datasheet!AK765</f>
        <v>#DIV/0!</v>
      </c>
    </row>
    <row r="1444" spans="2:37" s="223" customFormat="1" x14ac:dyDescent="0.25">
      <c r="C1444" s="223" t="s">
        <v>1410</v>
      </c>
      <c r="H1444" s="9" t="s">
        <v>1411</v>
      </c>
      <c r="I1444" s="263">
        <f>Datasheet!I786/Datasheet!I765</f>
        <v>8.3333333333333339</v>
      </c>
      <c r="J1444" s="263">
        <f>Datasheet!J786/Datasheet!J765</f>
        <v>7.8683834048640913</v>
      </c>
      <c r="K1444" s="263">
        <f>Datasheet!K786/Datasheet!K765</f>
        <v>8.1673306772908365</v>
      </c>
      <c r="L1444" s="263">
        <f>Datasheet!L786/Datasheet!L765</f>
        <v>10.067114093959731</v>
      </c>
      <c r="M1444" s="263">
        <f>Datasheet!M786/Datasheet!M765</f>
        <v>13.154362416107382</v>
      </c>
      <c r="N1444" s="263">
        <f>Datasheet!N786/Datasheet!N765</f>
        <v>15.436241610738255</v>
      </c>
      <c r="O1444" s="263">
        <f>Datasheet!O786/Datasheet!O765</f>
        <v>15.006002400960384</v>
      </c>
      <c r="P1444" s="263">
        <f>Datasheet!P786/Datasheet!P765</f>
        <v>11.173184357541899</v>
      </c>
      <c r="Q1444" s="263">
        <f>Datasheet!Q786/Datasheet!Q765</f>
        <v>14.525139664804469</v>
      </c>
      <c r="R1444" s="263">
        <f>Datasheet!R786/Datasheet!R765</f>
        <v>10.010537407797681</v>
      </c>
      <c r="S1444" s="263">
        <f>Datasheet!S786/Datasheet!S765</f>
        <v>9.4594594594594597</v>
      </c>
      <c r="T1444" s="263">
        <f>Datasheet!T786/Datasheet!T765</f>
        <v>8.670820353063343</v>
      </c>
      <c r="U1444" s="263">
        <f>Datasheet!U786/Datasheet!U765</f>
        <v>9.9690082644628095</v>
      </c>
      <c r="V1444" s="263">
        <f>Datasheet!V786/Datasheet!V765</f>
        <v>13.230429988974642</v>
      </c>
      <c r="W1444" s="263">
        <f>Datasheet!W786/Datasheet!W765</f>
        <v>13.170163170163169</v>
      </c>
      <c r="X1444" s="263">
        <f>Datasheet!X786/Datasheet!X765</f>
        <v>14.223194748358862</v>
      </c>
      <c r="Y1444" s="263">
        <f>Datasheet!Y786/Datasheet!Y765</f>
        <v>16.345177664974621</v>
      </c>
      <c r="Z1444" s="263">
        <f>Datasheet!Z786/Datasheet!Z765</f>
        <v>17.025440313111545</v>
      </c>
      <c r="AA1444" s="263">
        <f>Datasheet!AA786/Datasheet!AA765</f>
        <v>22.583559168925024</v>
      </c>
      <c r="AB1444" s="263">
        <f>Datasheet!AB786/Datasheet!AB765</f>
        <v>0</v>
      </c>
      <c r="AC1444" s="263" t="e">
        <f>Datasheet!AC786/Datasheet!AC765</f>
        <v>#DIV/0!</v>
      </c>
      <c r="AD1444" s="263" t="e">
        <f>Datasheet!AD786/Datasheet!AD765</f>
        <v>#DIV/0!</v>
      </c>
      <c r="AE1444" s="263" t="e">
        <f>Datasheet!AE786/Datasheet!AE765</f>
        <v>#DIV/0!</v>
      </c>
      <c r="AF1444" s="263" t="e">
        <f>Datasheet!AF786/Datasheet!AF765</f>
        <v>#DIV/0!</v>
      </c>
      <c r="AG1444" s="263" t="e">
        <f>Datasheet!AG786/Datasheet!AG765</f>
        <v>#DIV/0!</v>
      </c>
      <c r="AH1444" s="263" t="e">
        <f>Datasheet!AH786/Datasheet!AH765</f>
        <v>#DIV/0!</v>
      </c>
      <c r="AI1444" s="263" t="e">
        <f>Datasheet!AI786/Datasheet!AI765</f>
        <v>#DIV/0!</v>
      </c>
      <c r="AJ1444" s="263" t="e">
        <f>Datasheet!AJ786/Datasheet!AJ765</f>
        <v>#DIV/0!</v>
      </c>
      <c r="AK1444" s="263" t="e">
        <f>Datasheet!AK786/Datasheet!AK765</f>
        <v>#DIV/0!</v>
      </c>
    </row>
  </sheetData>
  <sheetProtection sheet="1" objects="1" scenarios="1"/>
  <sortState xmlns:xlrd2="http://schemas.microsoft.com/office/spreadsheetml/2017/richdata2" ref="B846:AK866">
    <sortCondition descending="1" ref="B846"/>
  </sortState>
  <phoneticPr fontId="25" type="noConversion"/>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D1EA7-3EFF-4B16-98A7-13B58DC28338}">
  <dimension ref="A1:AI301"/>
  <sheetViews>
    <sheetView workbookViewId="0">
      <pane ySplit="17" topLeftCell="A144" activePane="bottomLeft" state="frozen"/>
      <selection pane="bottomLeft"/>
    </sheetView>
  </sheetViews>
  <sheetFormatPr defaultRowHeight="15" x14ac:dyDescent="0.25"/>
  <cols>
    <col min="3" max="3" width="16.28515625" customWidth="1"/>
    <col min="4" max="4" width="54.5703125" customWidth="1"/>
    <col min="6" max="6" width="8" customWidth="1"/>
    <col min="8" max="8" width="11.42578125" customWidth="1"/>
    <col min="9" max="9" width="8.140625" customWidth="1"/>
    <col min="10" max="10" width="19.5703125" customWidth="1"/>
    <col min="12" max="12" width="9.140625" style="42" customWidth="1"/>
    <col min="13" max="14" width="9.140625" customWidth="1"/>
    <col min="15" max="15" width="10.7109375" customWidth="1"/>
    <col min="16" max="16" width="9.140625" style="42" customWidth="1"/>
    <col min="17" max="17" width="12.42578125" customWidth="1"/>
    <col min="18" max="18" width="9.140625" customWidth="1"/>
    <col min="19" max="19" width="11.85546875" customWidth="1"/>
    <col min="20" max="20" width="9.140625" style="42" customWidth="1"/>
    <col min="21" max="21" width="14.85546875" customWidth="1"/>
    <col min="22" max="22" width="13" customWidth="1"/>
    <col min="23" max="23" width="9.140625" style="42" customWidth="1"/>
    <col min="24" max="24" width="9.140625" style="42"/>
    <col min="28" max="28" width="9.140625" style="42"/>
  </cols>
  <sheetData>
    <row r="1" spans="1:29" s="38" customFormat="1" ht="17.25" x14ac:dyDescent="0.3">
      <c r="A1" s="37" t="s">
        <v>43</v>
      </c>
    </row>
    <row r="2" spans="1:29" s="2" customFormat="1" x14ac:dyDescent="0.25">
      <c r="B2" s="39" t="s">
        <v>31</v>
      </c>
      <c r="C2" s="2" t="s">
        <v>1941</v>
      </c>
      <c r="X2" s="49"/>
    </row>
    <row r="3" spans="1:29" s="2" customFormat="1" x14ac:dyDescent="0.25">
      <c r="B3" s="39"/>
      <c r="D3" s="2" t="s">
        <v>1940</v>
      </c>
    </row>
    <row r="4" spans="1:29" s="2" customFormat="1" x14ac:dyDescent="0.25">
      <c r="B4" s="39"/>
      <c r="D4" s="2" t="s">
        <v>1944</v>
      </c>
    </row>
    <row r="5" spans="1:29" s="2" customFormat="1" x14ac:dyDescent="0.25">
      <c r="B5" s="21"/>
      <c r="C5" s="2" t="s">
        <v>45</v>
      </c>
    </row>
    <row r="6" spans="1:29" s="2" customFormat="1" x14ac:dyDescent="0.25">
      <c r="B6" s="21"/>
      <c r="C6" s="2" t="s">
        <v>223</v>
      </c>
    </row>
    <row r="7" spans="1:29" s="2" customFormat="1" x14ac:dyDescent="0.25">
      <c r="B7" s="21"/>
      <c r="C7" s="217" t="s">
        <v>1977</v>
      </c>
    </row>
    <row r="8" spans="1:29" s="2" customFormat="1" x14ac:dyDescent="0.25">
      <c r="B8" s="39" t="s">
        <v>32</v>
      </c>
      <c r="C8" s="195" t="s">
        <v>398</v>
      </c>
      <c r="I8" s="39" t="s">
        <v>216</v>
      </c>
      <c r="J8" s="2" t="s">
        <v>217</v>
      </c>
    </row>
    <row r="9" spans="1:29" s="2" customFormat="1" x14ac:dyDescent="0.25">
      <c r="B9" s="21"/>
      <c r="C9" s="282" t="s">
        <v>1943</v>
      </c>
      <c r="J9" s="2" t="s">
        <v>218</v>
      </c>
    </row>
    <row r="10" spans="1:29" s="2" customFormat="1" x14ac:dyDescent="0.25">
      <c r="B10" s="64" t="s">
        <v>331</v>
      </c>
      <c r="C10" s="2" t="s">
        <v>1231</v>
      </c>
      <c r="J10" s="2" t="s">
        <v>219</v>
      </c>
    </row>
    <row r="11" spans="1:29" s="2" customFormat="1" x14ac:dyDescent="0.25">
      <c r="B11" s="64" t="s">
        <v>332</v>
      </c>
      <c r="C11" s="2" t="s">
        <v>1232</v>
      </c>
      <c r="J11" s="2" t="s">
        <v>232</v>
      </c>
    </row>
    <row r="12" spans="1:29" s="2" customFormat="1" x14ac:dyDescent="0.25">
      <c r="B12" s="64" t="s">
        <v>334</v>
      </c>
      <c r="C12" s="2" t="s">
        <v>1229</v>
      </c>
      <c r="J12" s="2" t="s">
        <v>220</v>
      </c>
    </row>
    <row r="13" spans="1:29" s="2" customFormat="1" x14ac:dyDescent="0.25">
      <c r="B13" s="64"/>
      <c r="C13" s="2" t="s">
        <v>1230</v>
      </c>
      <c r="J13" s="2" t="s">
        <v>1942</v>
      </c>
    </row>
    <row r="14" spans="1:29" s="2" customFormat="1" x14ac:dyDescent="0.25">
      <c r="B14" s="64"/>
      <c r="C14" s="2" t="s">
        <v>1945</v>
      </c>
    </row>
    <row r="15" spans="1:29" s="33" customFormat="1" ht="15.75" thickBot="1" x14ac:dyDescent="0.3">
      <c r="B15" s="40"/>
      <c r="C15" s="2" t="s">
        <v>1946</v>
      </c>
    </row>
    <row r="16" spans="1:29" s="15" customFormat="1" ht="15.75" customHeight="1" thickTop="1" x14ac:dyDescent="0.25">
      <c r="C16" s="310" t="s">
        <v>221</v>
      </c>
      <c r="D16" s="310" t="s">
        <v>47</v>
      </c>
      <c r="E16" s="310" t="s">
        <v>48</v>
      </c>
      <c r="F16" s="315" t="s">
        <v>49</v>
      </c>
      <c r="G16" s="315" t="s">
        <v>50</v>
      </c>
      <c r="H16" s="310" t="s">
        <v>51</v>
      </c>
      <c r="I16" s="57" t="s">
        <v>228</v>
      </c>
      <c r="J16" s="310" t="s">
        <v>52</v>
      </c>
      <c r="K16" s="308" t="s">
        <v>222</v>
      </c>
      <c r="L16" s="45" t="s">
        <v>53</v>
      </c>
      <c r="M16" s="46"/>
      <c r="N16" s="46"/>
      <c r="O16" s="46"/>
      <c r="P16" s="45" t="s">
        <v>54</v>
      </c>
      <c r="Q16" s="46"/>
      <c r="R16" s="46"/>
      <c r="S16" s="46"/>
      <c r="T16" s="45" t="s">
        <v>55</v>
      </c>
      <c r="U16" s="46"/>
      <c r="V16" s="46"/>
      <c r="W16" s="45" t="s">
        <v>1917</v>
      </c>
      <c r="X16" s="45" t="s">
        <v>1871</v>
      </c>
      <c r="AA16" s="46"/>
      <c r="AB16" s="312" t="s">
        <v>56</v>
      </c>
      <c r="AC16" s="46"/>
    </row>
    <row r="17" spans="3:28" s="47" customFormat="1" x14ac:dyDescent="0.25">
      <c r="C17" s="314"/>
      <c r="D17" s="314"/>
      <c r="E17" s="314"/>
      <c r="F17" s="316"/>
      <c r="G17" s="316"/>
      <c r="H17" s="314"/>
      <c r="I17" s="44"/>
      <c r="J17" s="311"/>
      <c r="K17" s="309"/>
      <c r="L17" s="48" t="s">
        <v>57</v>
      </c>
      <c r="M17" s="47" t="s">
        <v>58</v>
      </c>
      <c r="N17" s="47" t="s">
        <v>38</v>
      </c>
      <c r="O17" s="47" t="s">
        <v>224</v>
      </c>
      <c r="P17" s="48" t="s">
        <v>57</v>
      </c>
      <c r="Q17" s="47" t="s">
        <v>58</v>
      </c>
      <c r="R17" s="47" t="s">
        <v>38</v>
      </c>
      <c r="S17" s="47" t="s">
        <v>224</v>
      </c>
      <c r="T17" s="48" t="s">
        <v>58</v>
      </c>
      <c r="U17" s="47" t="s">
        <v>38</v>
      </c>
      <c r="V17" s="47" t="s">
        <v>224</v>
      </c>
      <c r="W17" s="48"/>
      <c r="X17" s="48" t="s">
        <v>1</v>
      </c>
      <c r="Y17" s="47" t="s">
        <v>225</v>
      </c>
      <c r="Z17" s="47" t="s">
        <v>226</v>
      </c>
      <c r="AA17" s="47" t="s">
        <v>227</v>
      </c>
      <c r="AB17" s="313"/>
    </row>
    <row r="18" spans="3:28" s="51" customFormat="1" x14ac:dyDescent="0.25">
      <c r="C18" s="55" t="s">
        <v>1939</v>
      </c>
      <c r="D18" s="56"/>
      <c r="E18" s="56"/>
      <c r="F18" s="273"/>
      <c r="G18" s="273"/>
      <c r="H18" s="56"/>
      <c r="I18" s="274"/>
      <c r="J18" s="56"/>
      <c r="K18" s="275"/>
      <c r="L18" s="276"/>
      <c r="M18" s="277"/>
      <c r="N18" s="277"/>
      <c r="O18" s="277"/>
      <c r="P18" s="276"/>
      <c r="Q18" s="277"/>
      <c r="R18" s="277"/>
      <c r="S18" s="277"/>
      <c r="T18" s="276"/>
      <c r="U18" s="277"/>
      <c r="V18" s="277"/>
      <c r="W18" s="276"/>
      <c r="X18" s="276"/>
      <c r="Y18" s="277"/>
      <c r="Z18" s="277"/>
      <c r="AA18" s="277"/>
      <c r="AB18" s="278"/>
    </row>
    <row r="19" spans="3:28" s="51" customFormat="1" x14ac:dyDescent="0.25">
      <c r="C19" s="271"/>
      <c r="D19" s="280" t="s">
        <v>1907</v>
      </c>
      <c r="E19" s="53" t="s">
        <v>1872</v>
      </c>
      <c r="F19" s="22" t="s">
        <v>62</v>
      </c>
      <c r="G19" s="22" t="s">
        <v>63</v>
      </c>
      <c r="H19" s="281">
        <v>40373</v>
      </c>
      <c r="I19" s="58">
        <f t="shared" ref="I19:I52" si="0">YEAR(H19)</f>
        <v>2010</v>
      </c>
      <c r="J19" s="223" t="s">
        <v>1873</v>
      </c>
      <c r="K19" s="54"/>
      <c r="L19" s="52"/>
      <c r="P19" s="52"/>
      <c r="T19" s="52"/>
      <c r="W19" s="52">
        <v>23</v>
      </c>
      <c r="X19" s="52">
        <v>2.75</v>
      </c>
      <c r="Y19" s="51">
        <v>0</v>
      </c>
      <c r="Z19" s="51">
        <v>0</v>
      </c>
      <c r="AA19" s="51">
        <v>0</v>
      </c>
      <c r="AB19" s="272" t="s">
        <v>1899</v>
      </c>
    </row>
    <row r="20" spans="3:28" s="51" customFormat="1" x14ac:dyDescent="0.25">
      <c r="C20" s="271"/>
      <c r="D20" s="280" t="s">
        <v>1908</v>
      </c>
      <c r="E20" s="53" t="s">
        <v>1872</v>
      </c>
      <c r="F20" s="22" t="s">
        <v>62</v>
      </c>
      <c r="G20" s="22" t="s">
        <v>63</v>
      </c>
      <c r="H20" s="281">
        <v>40381</v>
      </c>
      <c r="I20" s="58">
        <f t="shared" si="0"/>
        <v>2010</v>
      </c>
      <c r="J20" s="223" t="s">
        <v>1874</v>
      </c>
      <c r="K20" s="54"/>
      <c r="L20" s="52"/>
      <c r="P20" s="52"/>
      <c r="T20" s="52"/>
      <c r="W20" s="52">
        <v>1</v>
      </c>
      <c r="X20" s="52">
        <v>10.82</v>
      </c>
      <c r="Y20" s="51">
        <v>0</v>
      </c>
      <c r="Z20" s="51">
        <v>10.82</v>
      </c>
      <c r="AA20" s="51">
        <v>0</v>
      </c>
      <c r="AB20" s="272">
        <v>7270</v>
      </c>
    </row>
    <row r="21" spans="3:28" s="51" customFormat="1" x14ac:dyDescent="0.25">
      <c r="C21" s="271"/>
      <c r="D21" s="280" t="s">
        <v>1909</v>
      </c>
      <c r="E21" s="53" t="s">
        <v>1872</v>
      </c>
      <c r="F21" s="22" t="s">
        <v>62</v>
      </c>
      <c r="G21" s="22" t="s">
        <v>63</v>
      </c>
      <c r="H21" s="281">
        <v>40407</v>
      </c>
      <c r="I21" s="58">
        <f t="shared" si="0"/>
        <v>2010</v>
      </c>
      <c r="J21" s="223" t="s">
        <v>1875</v>
      </c>
      <c r="K21" s="54"/>
      <c r="L21" s="52"/>
      <c r="P21" s="52"/>
      <c r="T21" s="52"/>
      <c r="W21" s="52">
        <v>1</v>
      </c>
      <c r="X21" s="52">
        <v>4.99</v>
      </c>
      <c r="Y21" s="51">
        <v>0.27</v>
      </c>
      <c r="Z21" s="51">
        <v>0</v>
      </c>
      <c r="AA21" s="51">
        <v>0</v>
      </c>
      <c r="AB21" s="272" t="s">
        <v>1187</v>
      </c>
    </row>
    <row r="22" spans="3:28" s="51" customFormat="1" x14ac:dyDescent="0.25">
      <c r="C22" s="271"/>
      <c r="D22" s="280"/>
      <c r="E22" s="53" t="s">
        <v>1872</v>
      </c>
      <c r="F22" s="22" t="s">
        <v>62</v>
      </c>
      <c r="G22" s="22" t="s">
        <v>63</v>
      </c>
      <c r="H22" s="281">
        <v>40532</v>
      </c>
      <c r="I22" s="58">
        <f t="shared" si="0"/>
        <v>2010</v>
      </c>
      <c r="J22" s="223" t="s">
        <v>1876</v>
      </c>
      <c r="K22" s="54"/>
      <c r="L22" s="52"/>
      <c r="P22" s="52"/>
      <c r="T22" s="52"/>
      <c r="W22" s="52">
        <v>2</v>
      </c>
      <c r="X22" s="52">
        <v>133.94999999999999</v>
      </c>
      <c r="Y22" s="51">
        <v>133.94999999999999</v>
      </c>
      <c r="Z22" s="51">
        <v>0</v>
      </c>
      <c r="AA22" s="51">
        <v>0</v>
      </c>
      <c r="AB22" s="272">
        <v>35</v>
      </c>
    </row>
    <row r="23" spans="3:28" s="51" customFormat="1" x14ac:dyDescent="0.25">
      <c r="C23" s="271"/>
      <c r="D23" s="280" t="s">
        <v>1910</v>
      </c>
      <c r="E23" s="53" t="s">
        <v>1872</v>
      </c>
      <c r="F23" s="22" t="s">
        <v>62</v>
      </c>
      <c r="G23" s="22" t="s">
        <v>63</v>
      </c>
      <c r="H23" s="281">
        <v>40819</v>
      </c>
      <c r="I23" s="58">
        <f t="shared" si="0"/>
        <v>2011</v>
      </c>
      <c r="J23" s="223" t="s">
        <v>1877</v>
      </c>
      <c r="K23" s="54"/>
      <c r="L23" s="52"/>
      <c r="P23" s="52"/>
      <c r="T23" s="52"/>
      <c r="W23" s="52">
        <v>1</v>
      </c>
      <c r="X23" s="52">
        <v>33.64</v>
      </c>
      <c r="Y23" s="51">
        <v>33.64</v>
      </c>
      <c r="Z23" s="51">
        <v>0</v>
      </c>
      <c r="AA23" s="51">
        <v>0</v>
      </c>
      <c r="AB23" s="272" t="s">
        <v>192</v>
      </c>
    </row>
    <row r="24" spans="3:28" s="51" customFormat="1" x14ac:dyDescent="0.25">
      <c r="C24" s="271"/>
      <c r="D24" s="280" t="s">
        <v>1911</v>
      </c>
      <c r="E24" s="53" t="s">
        <v>1872</v>
      </c>
      <c r="F24" s="22" t="s">
        <v>62</v>
      </c>
      <c r="G24" s="22" t="s">
        <v>63</v>
      </c>
      <c r="H24" s="281">
        <v>41159</v>
      </c>
      <c r="I24" s="58">
        <f t="shared" si="0"/>
        <v>2012</v>
      </c>
      <c r="J24" s="223" t="s">
        <v>1878</v>
      </c>
      <c r="K24" s="54"/>
      <c r="L24" s="52"/>
      <c r="P24" s="52"/>
      <c r="T24" s="52"/>
      <c r="W24" s="52">
        <v>1</v>
      </c>
      <c r="X24" s="52">
        <v>5.38</v>
      </c>
      <c r="Y24" s="51">
        <v>0</v>
      </c>
      <c r="Z24" s="51">
        <v>0</v>
      </c>
      <c r="AA24" s="51">
        <v>0</v>
      </c>
      <c r="AB24" s="272" t="s">
        <v>1187</v>
      </c>
    </row>
    <row r="25" spans="3:28" s="51" customFormat="1" x14ac:dyDescent="0.25">
      <c r="C25" s="271"/>
      <c r="D25" s="280" t="s">
        <v>1912</v>
      </c>
      <c r="E25" s="53" t="s">
        <v>1872</v>
      </c>
      <c r="F25" s="22" t="s">
        <v>62</v>
      </c>
      <c r="G25" s="22" t="s">
        <v>63</v>
      </c>
      <c r="H25" s="281">
        <v>41159</v>
      </c>
      <c r="I25" s="58">
        <f t="shared" si="0"/>
        <v>2012</v>
      </c>
      <c r="J25" s="223" t="s">
        <v>1879</v>
      </c>
      <c r="K25" s="54"/>
      <c r="L25" s="52"/>
      <c r="P25" s="52"/>
      <c r="T25" s="52"/>
      <c r="W25" s="52">
        <v>1</v>
      </c>
      <c r="X25" s="52">
        <v>5.72</v>
      </c>
      <c r="Y25" s="51">
        <v>3</v>
      </c>
      <c r="Z25" s="51">
        <v>0</v>
      </c>
      <c r="AA25" s="51">
        <v>0</v>
      </c>
      <c r="AB25" s="272" t="s">
        <v>1187</v>
      </c>
    </row>
    <row r="26" spans="3:28" s="51" customFormat="1" x14ac:dyDescent="0.25">
      <c r="C26" s="271"/>
      <c r="D26" s="280" t="s">
        <v>1673</v>
      </c>
      <c r="E26" s="53" t="s">
        <v>1872</v>
      </c>
      <c r="F26" s="22" t="s">
        <v>62</v>
      </c>
      <c r="G26" s="22" t="s">
        <v>63</v>
      </c>
      <c r="H26" s="281">
        <v>41201</v>
      </c>
      <c r="I26" s="58">
        <f t="shared" si="0"/>
        <v>2012</v>
      </c>
      <c r="J26" s="223" t="s">
        <v>1880</v>
      </c>
      <c r="K26" s="54"/>
      <c r="L26" s="52"/>
      <c r="P26" s="52"/>
      <c r="T26" s="52"/>
      <c r="W26" s="52">
        <v>2</v>
      </c>
      <c r="X26" s="52">
        <v>25.93</v>
      </c>
      <c r="Y26" s="51">
        <v>0</v>
      </c>
      <c r="Z26" s="51">
        <v>0</v>
      </c>
      <c r="AA26" s="51">
        <v>0</v>
      </c>
      <c r="AB26" s="272" t="s">
        <v>1901</v>
      </c>
    </row>
    <row r="27" spans="3:28" s="51" customFormat="1" x14ac:dyDescent="0.25">
      <c r="C27" s="271"/>
      <c r="D27" s="280" t="s">
        <v>1913</v>
      </c>
      <c r="E27" s="53" t="s">
        <v>1872</v>
      </c>
      <c r="F27" s="22" t="s">
        <v>62</v>
      </c>
      <c r="G27" s="22" t="s">
        <v>63</v>
      </c>
      <c r="H27" s="281">
        <v>41304</v>
      </c>
      <c r="I27" s="58">
        <f t="shared" si="0"/>
        <v>2013</v>
      </c>
      <c r="J27" s="223" t="s">
        <v>1881</v>
      </c>
      <c r="K27" s="54"/>
      <c r="L27" s="52"/>
      <c r="P27" s="52"/>
      <c r="T27" s="52"/>
      <c r="W27" s="52">
        <v>8</v>
      </c>
      <c r="X27" s="52">
        <v>38.26</v>
      </c>
      <c r="Y27" s="51">
        <v>37.06</v>
      </c>
      <c r="Z27" s="51">
        <v>0</v>
      </c>
      <c r="AA27" s="51">
        <v>38.26</v>
      </c>
      <c r="AB27" s="272" t="s">
        <v>1914</v>
      </c>
    </row>
    <row r="28" spans="3:28" s="51" customFormat="1" x14ac:dyDescent="0.25">
      <c r="C28" s="271"/>
      <c r="D28" s="280"/>
      <c r="E28" s="53" t="s">
        <v>1872</v>
      </c>
      <c r="F28" s="22" t="s">
        <v>62</v>
      </c>
      <c r="G28" s="22" t="s">
        <v>63</v>
      </c>
      <c r="H28" s="281">
        <v>41498</v>
      </c>
      <c r="I28" s="58">
        <f t="shared" si="0"/>
        <v>2013</v>
      </c>
      <c r="J28" t="s">
        <v>1916</v>
      </c>
      <c r="K28" s="54"/>
      <c r="L28" s="52"/>
      <c r="P28" s="52"/>
      <c r="T28" s="52"/>
      <c r="W28" s="52">
        <v>1</v>
      </c>
      <c r="X28" s="52">
        <v>35.92</v>
      </c>
      <c r="Y28" s="51">
        <v>6.8</v>
      </c>
      <c r="Z28" s="51">
        <v>0</v>
      </c>
      <c r="AA28" s="51">
        <v>35.92</v>
      </c>
      <c r="AB28" s="272">
        <v>35</v>
      </c>
    </row>
    <row r="29" spans="3:28" s="51" customFormat="1" x14ac:dyDescent="0.25">
      <c r="C29" s="271"/>
      <c r="D29" s="280" t="s">
        <v>1915</v>
      </c>
      <c r="E29" s="53" t="s">
        <v>1872</v>
      </c>
      <c r="F29" s="22" t="s">
        <v>62</v>
      </c>
      <c r="G29" s="22" t="s">
        <v>63</v>
      </c>
      <c r="H29" s="281">
        <v>41501</v>
      </c>
      <c r="I29" s="58">
        <f t="shared" si="0"/>
        <v>2013</v>
      </c>
      <c r="J29" s="223" t="s">
        <v>1906</v>
      </c>
      <c r="K29" s="54"/>
      <c r="L29" s="52"/>
      <c r="P29" s="52"/>
      <c r="T29" s="52"/>
      <c r="W29" s="52">
        <v>2</v>
      </c>
      <c r="X29" s="52">
        <v>8.31</v>
      </c>
      <c r="Y29" s="51">
        <v>8.31</v>
      </c>
      <c r="Z29" s="51">
        <v>0</v>
      </c>
      <c r="AA29" s="51">
        <v>0</v>
      </c>
      <c r="AB29" s="272" t="s">
        <v>1900</v>
      </c>
    </row>
    <row r="30" spans="3:28" s="51" customFormat="1" x14ac:dyDescent="0.25">
      <c r="C30" s="271"/>
      <c r="D30" s="280" t="s">
        <v>1918</v>
      </c>
      <c r="E30" s="53" t="s">
        <v>1872</v>
      </c>
      <c r="F30" s="22" t="s">
        <v>62</v>
      </c>
      <c r="G30" s="22" t="s">
        <v>63</v>
      </c>
      <c r="H30" s="281">
        <v>42019</v>
      </c>
      <c r="I30" s="58">
        <f t="shared" si="0"/>
        <v>2015</v>
      </c>
      <c r="J30" s="223" t="s">
        <v>1882</v>
      </c>
      <c r="K30" s="54"/>
      <c r="L30" s="52"/>
      <c r="P30" s="52"/>
      <c r="T30" s="52"/>
      <c r="W30" s="52">
        <v>1</v>
      </c>
      <c r="X30" s="52">
        <v>38.770000000000003</v>
      </c>
      <c r="Y30" s="51">
        <v>31</v>
      </c>
      <c r="Z30" s="51">
        <v>0</v>
      </c>
      <c r="AA30" s="51">
        <v>38.770000000000003</v>
      </c>
      <c r="AB30" s="272">
        <v>35</v>
      </c>
    </row>
    <row r="31" spans="3:28" s="51" customFormat="1" x14ac:dyDescent="0.25">
      <c r="C31" s="271"/>
      <c r="D31" s="280"/>
      <c r="E31" s="53" t="s">
        <v>1872</v>
      </c>
      <c r="F31" s="22" t="s">
        <v>62</v>
      </c>
      <c r="G31" s="22" t="s">
        <v>63</v>
      </c>
      <c r="H31" s="281">
        <v>42045</v>
      </c>
      <c r="I31" s="58">
        <f t="shared" si="0"/>
        <v>2015</v>
      </c>
      <c r="J31" s="223" t="s">
        <v>1919</v>
      </c>
      <c r="K31" s="54"/>
      <c r="L31" s="52"/>
      <c r="P31" s="52"/>
      <c r="T31" s="52"/>
      <c r="W31" s="52">
        <v>1</v>
      </c>
      <c r="X31" s="52">
        <v>34.76</v>
      </c>
      <c r="Y31" s="51">
        <v>34.76</v>
      </c>
      <c r="Z31" s="51">
        <v>0</v>
      </c>
      <c r="AA31" s="51">
        <v>34.76</v>
      </c>
      <c r="AB31" s="272">
        <v>35</v>
      </c>
    </row>
    <row r="32" spans="3:28" s="51" customFormat="1" x14ac:dyDescent="0.25">
      <c r="C32" s="271"/>
      <c r="D32" s="280"/>
      <c r="E32" s="53" t="s">
        <v>1872</v>
      </c>
      <c r="F32" s="22" t="s">
        <v>62</v>
      </c>
      <c r="G32" s="22" t="s">
        <v>63</v>
      </c>
      <c r="H32" s="281">
        <v>42213</v>
      </c>
      <c r="I32" s="58">
        <f t="shared" si="0"/>
        <v>2015</v>
      </c>
      <c r="J32" s="223" t="s">
        <v>1920</v>
      </c>
      <c r="K32" s="54"/>
      <c r="L32" s="52"/>
      <c r="P32" s="52"/>
      <c r="T32" s="52"/>
      <c r="W32" s="52">
        <v>1</v>
      </c>
      <c r="X32" s="52">
        <v>37.86</v>
      </c>
      <c r="Y32" s="51">
        <v>25.3</v>
      </c>
      <c r="Z32" s="51">
        <v>37.86</v>
      </c>
      <c r="AA32" s="51">
        <v>37.86</v>
      </c>
      <c r="AB32" s="272">
        <v>35</v>
      </c>
    </row>
    <row r="33" spans="3:28" s="51" customFormat="1" x14ac:dyDescent="0.25">
      <c r="C33" s="271"/>
      <c r="D33" s="280" t="s">
        <v>1921</v>
      </c>
      <c r="E33" s="53" t="s">
        <v>1872</v>
      </c>
      <c r="F33" s="22" t="s">
        <v>62</v>
      </c>
      <c r="G33" s="22" t="s">
        <v>63</v>
      </c>
      <c r="H33" s="281">
        <v>42588</v>
      </c>
      <c r="I33" s="58">
        <f t="shared" si="0"/>
        <v>2016</v>
      </c>
      <c r="J33" s="223" t="s">
        <v>1883</v>
      </c>
      <c r="K33" s="54"/>
      <c r="L33" s="52"/>
      <c r="P33" s="52"/>
      <c r="T33" s="52"/>
      <c r="W33" s="52">
        <v>1</v>
      </c>
      <c r="X33" s="52">
        <v>20.91</v>
      </c>
      <c r="Y33" s="51">
        <v>9.3000000000000007</v>
      </c>
      <c r="Z33" s="51">
        <v>0</v>
      </c>
      <c r="AA33" s="51">
        <v>0</v>
      </c>
      <c r="AB33" s="272" t="s">
        <v>1914</v>
      </c>
    </row>
    <row r="34" spans="3:28" s="51" customFormat="1" x14ac:dyDescent="0.25">
      <c r="C34" s="271"/>
      <c r="D34" s="280" t="s">
        <v>1922</v>
      </c>
      <c r="E34" s="53" t="s">
        <v>1872</v>
      </c>
      <c r="F34" s="22" t="s">
        <v>62</v>
      </c>
      <c r="G34" s="22" t="s">
        <v>63</v>
      </c>
      <c r="H34" s="281">
        <v>42697</v>
      </c>
      <c r="I34" s="58">
        <f t="shared" si="0"/>
        <v>2016</v>
      </c>
      <c r="J34" s="223" t="s">
        <v>1923</v>
      </c>
      <c r="K34" s="54"/>
      <c r="L34" s="52"/>
      <c r="P34" s="52"/>
      <c r="T34" s="52"/>
      <c r="W34" s="52">
        <v>2</v>
      </c>
      <c r="X34" s="52">
        <v>7.98</v>
      </c>
      <c r="Y34" s="51">
        <v>1.5</v>
      </c>
      <c r="Z34" s="51">
        <v>0</v>
      </c>
      <c r="AA34" s="51">
        <v>0</v>
      </c>
      <c r="AB34" s="272" t="s">
        <v>1902</v>
      </c>
    </row>
    <row r="35" spans="3:28" s="51" customFormat="1" x14ac:dyDescent="0.25">
      <c r="C35" s="271"/>
      <c r="D35" s="280" t="s">
        <v>1925</v>
      </c>
      <c r="E35" s="53" t="s">
        <v>1872</v>
      </c>
      <c r="F35" s="22" t="s">
        <v>62</v>
      </c>
      <c r="G35" s="22" t="s">
        <v>63</v>
      </c>
      <c r="H35" s="281">
        <v>42735</v>
      </c>
      <c r="I35" s="58">
        <f t="shared" si="0"/>
        <v>2016</v>
      </c>
      <c r="J35" s="223" t="s">
        <v>1924</v>
      </c>
      <c r="K35" s="54"/>
      <c r="L35" s="52"/>
      <c r="P35" s="52"/>
      <c r="T35" s="52"/>
      <c r="W35" s="52">
        <v>1</v>
      </c>
      <c r="X35" s="52">
        <v>35.01</v>
      </c>
      <c r="Y35" s="51">
        <v>35.01</v>
      </c>
      <c r="Z35" s="51">
        <v>35.01</v>
      </c>
      <c r="AA35" s="51">
        <v>35.01</v>
      </c>
      <c r="AB35" s="272">
        <v>35</v>
      </c>
    </row>
    <row r="36" spans="3:28" s="51" customFormat="1" x14ac:dyDescent="0.25">
      <c r="C36" s="271"/>
      <c r="D36" s="280" t="s">
        <v>1926</v>
      </c>
      <c r="E36" s="53" t="s">
        <v>1872</v>
      </c>
      <c r="F36" s="22" t="s">
        <v>62</v>
      </c>
      <c r="G36" s="22" t="s">
        <v>63</v>
      </c>
      <c r="H36" s="281">
        <v>42748</v>
      </c>
      <c r="I36" s="58">
        <f t="shared" si="0"/>
        <v>2017</v>
      </c>
      <c r="J36" s="223" t="s">
        <v>1884</v>
      </c>
      <c r="K36" s="54"/>
      <c r="L36" s="52"/>
      <c r="P36" s="52"/>
      <c r="T36" s="52"/>
      <c r="W36" s="52">
        <v>1</v>
      </c>
      <c r="X36" s="52">
        <v>22.61</v>
      </c>
      <c r="Y36" s="51">
        <v>22.61</v>
      </c>
      <c r="Z36" s="51">
        <v>0</v>
      </c>
      <c r="AA36" s="51">
        <v>0</v>
      </c>
      <c r="AB36" s="272" t="s">
        <v>1901</v>
      </c>
    </row>
    <row r="37" spans="3:28" s="51" customFormat="1" x14ac:dyDescent="0.25">
      <c r="C37" s="271"/>
      <c r="D37" s="280" t="s">
        <v>1927</v>
      </c>
      <c r="E37" s="53" t="s">
        <v>1872</v>
      </c>
      <c r="F37" s="22" t="s">
        <v>62</v>
      </c>
      <c r="G37" s="22" t="s">
        <v>63</v>
      </c>
      <c r="H37" s="281">
        <v>42944</v>
      </c>
      <c r="I37" s="58">
        <f t="shared" si="0"/>
        <v>2017</v>
      </c>
      <c r="J37" s="223" t="s">
        <v>1885</v>
      </c>
      <c r="K37" s="54"/>
      <c r="L37" s="52"/>
      <c r="P37" s="52"/>
      <c r="T37" s="52"/>
      <c r="W37" s="52">
        <v>3</v>
      </c>
      <c r="X37" s="52">
        <v>68.64</v>
      </c>
      <c r="Y37" s="51">
        <v>0</v>
      </c>
      <c r="Z37" s="51">
        <v>0</v>
      </c>
      <c r="AA37" s="51">
        <v>0</v>
      </c>
      <c r="AB37" s="272" t="s">
        <v>1901</v>
      </c>
    </row>
    <row r="38" spans="3:28" s="51" customFormat="1" x14ac:dyDescent="0.25">
      <c r="C38" s="271"/>
      <c r="D38" s="280" t="s">
        <v>1928</v>
      </c>
      <c r="E38" s="53" t="s">
        <v>1872</v>
      </c>
      <c r="F38" s="22" t="s">
        <v>62</v>
      </c>
      <c r="G38" s="22" t="s">
        <v>63</v>
      </c>
      <c r="H38" s="281">
        <v>42951</v>
      </c>
      <c r="I38" s="58">
        <f t="shared" si="0"/>
        <v>2017</v>
      </c>
      <c r="J38" s="223" t="s">
        <v>1886</v>
      </c>
      <c r="K38" s="54"/>
      <c r="L38" s="52"/>
      <c r="P38" s="52"/>
      <c r="T38" s="52"/>
      <c r="W38" s="52">
        <v>5</v>
      </c>
      <c r="X38" s="52">
        <v>38.519999999999996</v>
      </c>
      <c r="Y38" s="51">
        <v>29.53</v>
      </c>
      <c r="Z38" s="51">
        <v>0</v>
      </c>
      <c r="AA38" s="51">
        <v>38.520000000000003</v>
      </c>
      <c r="AB38" s="272" t="s">
        <v>1187</v>
      </c>
    </row>
    <row r="39" spans="3:28" s="51" customFormat="1" x14ac:dyDescent="0.25">
      <c r="C39" s="271"/>
      <c r="D39" s="280" t="s">
        <v>1929</v>
      </c>
      <c r="E39" s="53" t="s">
        <v>1872</v>
      </c>
      <c r="F39" s="22" t="s">
        <v>62</v>
      </c>
      <c r="G39" s="22" t="s">
        <v>63</v>
      </c>
      <c r="H39" s="281">
        <v>42957</v>
      </c>
      <c r="I39" s="58">
        <f t="shared" si="0"/>
        <v>2017</v>
      </c>
      <c r="J39" s="223" t="s">
        <v>1887</v>
      </c>
      <c r="K39" s="54"/>
      <c r="L39" s="52"/>
      <c r="P39" s="52"/>
      <c r="T39" s="52"/>
      <c r="W39" s="52">
        <v>8</v>
      </c>
      <c r="X39" s="52">
        <v>315.13</v>
      </c>
      <c r="Y39" s="51">
        <v>315.13</v>
      </c>
      <c r="Z39" s="51">
        <v>315.13</v>
      </c>
      <c r="AA39" s="51">
        <v>315.13</v>
      </c>
      <c r="AB39" s="272">
        <v>35</v>
      </c>
    </row>
    <row r="40" spans="3:28" s="51" customFormat="1" x14ac:dyDescent="0.25">
      <c r="C40" s="271"/>
      <c r="D40" s="280" t="s">
        <v>1930</v>
      </c>
      <c r="E40" s="53" t="s">
        <v>1872</v>
      </c>
      <c r="F40" s="22" t="s">
        <v>62</v>
      </c>
      <c r="G40" s="22" t="s">
        <v>63</v>
      </c>
      <c r="H40" s="281">
        <v>42962</v>
      </c>
      <c r="I40" s="58">
        <f t="shared" si="0"/>
        <v>2017</v>
      </c>
      <c r="J40" s="223" t="s">
        <v>1888</v>
      </c>
      <c r="K40" s="54"/>
      <c r="L40" s="52"/>
      <c r="P40" s="52"/>
      <c r="T40" s="52"/>
      <c r="W40" s="52">
        <v>10</v>
      </c>
      <c r="X40" s="52">
        <v>3.7100000000000004</v>
      </c>
      <c r="Y40" s="51">
        <v>3.71</v>
      </c>
      <c r="Z40" s="51">
        <v>3.71</v>
      </c>
      <c r="AA40" s="51">
        <v>0</v>
      </c>
      <c r="AB40" s="272" t="s">
        <v>1899</v>
      </c>
    </row>
    <row r="41" spans="3:28" s="51" customFormat="1" x14ac:dyDescent="0.25">
      <c r="C41" s="271"/>
      <c r="D41" s="280" t="s">
        <v>1931</v>
      </c>
      <c r="E41" s="53" t="s">
        <v>1872</v>
      </c>
      <c r="F41" s="22" t="s">
        <v>62</v>
      </c>
      <c r="G41" s="22" t="s">
        <v>63</v>
      </c>
      <c r="H41" s="281">
        <v>42964</v>
      </c>
      <c r="I41" s="58">
        <f t="shared" si="0"/>
        <v>2017</v>
      </c>
      <c r="J41" s="223" t="s">
        <v>1889</v>
      </c>
      <c r="K41" s="54"/>
      <c r="L41" s="52"/>
      <c r="P41" s="52"/>
      <c r="T41" s="52"/>
      <c r="W41" s="52">
        <v>10</v>
      </c>
      <c r="X41" s="52">
        <v>430</v>
      </c>
      <c r="Y41" s="51">
        <v>420.9</v>
      </c>
      <c r="Z41" s="51">
        <v>430</v>
      </c>
      <c r="AA41" s="51">
        <v>430</v>
      </c>
      <c r="AB41" s="272">
        <v>35</v>
      </c>
    </row>
    <row r="42" spans="3:28" s="51" customFormat="1" x14ac:dyDescent="0.25">
      <c r="C42" s="271"/>
      <c r="D42" s="271" t="s">
        <v>1932</v>
      </c>
      <c r="E42" s="53" t="s">
        <v>1872</v>
      </c>
      <c r="F42" s="22" t="s">
        <v>62</v>
      </c>
      <c r="G42" s="22" t="s">
        <v>63</v>
      </c>
      <c r="H42" s="281">
        <v>42965</v>
      </c>
      <c r="I42" s="58">
        <f t="shared" si="0"/>
        <v>2017</v>
      </c>
      <c r="J42" s="223" t="s">
        <v>1890</v>
      </c>
      <c r="K42" s="54"/>
      <c r="L42" s="52"/>
      <c r="P42" s="52"/>
      <c r="T42" s="52"/>
      <c r="W42" s="52">
        <v>19</v>
      </c>
      <c r="X42" s="52">
        <v>6.78</v>
      </c>
      <c r="Y42" s="51">
        <v>6.78</v>
      </c>
      <c r="Z42" s="51">
        <v>6.78</v>
      </c>
      <c r="AA42" s="51">
        <v>0</v>
      </c>
      <c r="AB42" s="272" t="s">
        <v>1899</v>
      </c>
    </row>
    <row r="43" spans="3:28" s="51" customFormat="1" x14ac:dyDescent="0.25">
      <c r="C43" s="271"/>
      <c r="D43" s="271"/>
      <c r="E43" s="53" t="s">
        <v>1872</v>
      </c>
      <c r="F43" s="22" t="s">
        <v>62</v>
      </c>
      <c r="G43" s="22" t="s">
        <v>63</v>
      </c>
      <c r="H43" s="281">
        <v>42965</v>
      </c>
      <c r="I43" s="58">
        <f t="shared" si="0"/>
        <v>2017</v>
      </c>
      <c r="J43" s="223" t="s">
        <v>159</v>
      </c>
      <c r="K43" s="54"/>
      <c r="L43" s="52"/>
      <c r="P43" s="52"/>
      <c r="T43" s="52"/>
      <c r="W43" s="52">
        <v>1</v>
      </c>
      <c r="X43" s="52">
        <v>70</v>
      </c>
      <c r="Y43" s="51">
        <v>70</v>
      </c>
      <c r="Z43" s="51">
        <v>70</v>
      </c>
      <c r="AA43" s="51">
        <v>0</v>
      </c>
      <c r="AB43" s="272">
        <v>35</v>
      </c>
    </row>
    <row r="44" spans="3:28" s="51" customFormat="1" x14ac:dyDescent="0.25">
      <c r="C44" s="271"/>
      <c r="D44" s="53"/>
      <c r="E44" s="53" t="s">
        <v>1872</v>
      </c>
      <c r="F44" s="22" t="s">
        <v>62</v>
      </c>
      <c r="G44" s="22" t="s">
        <v>63</v>
      </c>
      <c r="H44" s="281">
        <v>43040</v>
      </c>
      <c r="I44" s="58">
        <f t="shared" si="0"/>
        <v>2017</v>
      </c>
      <c r="J44" s="223" t="s">
        <v>1891</v>
      </c>
      <c r="K44" s="54"/>
      <c r="L44" s="52"/>
      <c r="P44" s="52"/>
      <c r="T44" s="52"/>
      <c r="W44" s="52">
        <v>2</v>
      </c>
      <c r="X44" s="52">
        <v>70.59</v>
      </c>
      <c r="Y44" s="51">
        <v>70.59</v>
      </c>
      <c r="Z44" s="51">
        <v>0</v>
      </c>
      <c r="AA44" s="51">
        <v>70.59</v>
      </c>
      <c r="AB44" s="272">
        <v>35</v>
      </c>
    </row>
    <row r="45" spans="3:28" s="51" customFormat="1" x14ac:dyDescent="0.25">
      <c r="C45" s="271"/>
      <c r="D45" s="271" t="s">
        <v>1933</v>
      </c>
      <c r="E45" s="53" t="s">
        <v>1872</v>
      </c>
      <c r="F45" s="22" t="s">
        <v>62</v>
      </c>
      <c r="G45" s="22" t="s">
        <v>63</v>
      </c>
      <c r="H45" s="281">
        <v>43069</v>
      </c>
      <c r="I45" s="58">
        <f t="shared" si="0"/>
        <v>2017</v>
      </c>
      <c r="J45" s="223" t="s">
        <v>1892</v>
      </c>
      <c r="K45" s="54"/>
      <c r="L45" s="52"/>
      <c r="P45" s="52"/>
      <c r="T45" s="52"/>
      <c r="W45" s="52">
        <v>1</v>
      </c>
      <c r="X45" s="52">
        <v>19.77</v>
      </c>
      <c r="Y45" s="51">
        <v>0</v>
      </c>
      <c r="Z45" s="51">
        <v>19.77</v>
      </c>
      <c r="AA45" s="51">
        <v>0</v>
      </c>
      <c r="AB45" s="272" t="s">
        <v>1187</v>
      </c>
    </row>
    <row r="46" spans="3:28" s="51" customFormat="1" x14ac:dyDescent="0.25">
      <c r="C46" s="271"/>
      <c r="D46" s="53"/>
      <c r="E46" s="53" t="s">
        <v>1872</v>
      </c>
      <c r="F46" s="22" t="s">
        <v>62</v>
      </c>
      <c r="G46" s="22" t="s">
        <v>63</v>
      </c>
      <c r="H46" s="281">
        <v>43301</v>
      </c>
      <c r="I46" s="58">
        <f t="shared" si="0"/>
        <v>2018</v>
      </c>
      <c r="J46" s="223" t="s">
        <v>1893</v>
      </c>
      <c r="K46" s="54"/>
      <c r="L46" s="52"/>
      <c r="P46" s="52"/>
      <c r="T46" s="52"/>
      <c r="W46" s="52">
        <v>1</v>
      </c>
      <c r="X46" s="52">
        <v>79.86</v>
      </c>
      <c r="Y46" s="51">
        <v>79.86</v>
      </c>
      <c r="Z46" s="51">
        <v>79.86</v>
      </c>
      <c r="AA46" s="51">
        <v>79.86</v>
      </c>
      <c r="AB46" s="272">
        <v>35</v>
      </c>
    </row>
    <row r="47" spans="3:28" s="51" customFormat="1" x14ac:dyDescent="0.25">
      <c r="C47" s="271"/>
      <c r="D47" s="271" t="s">
        <v>1922</v>
      </c>
      <c r="E47" s="53" t="s">
        <v>1872</v>
      </c>
      <c r="F47" s="22" t="s">
        <v>62</v>
      </c>
      <c r="G47" s="22" t="s">
        <v>63</v>
      </c>
      <c r="H47" s="281">
        <v>43356</v>
      </c>
      <c r="I47" s="58">
        <f t="shared" si="0"/>
        <v>2018</v>
      </c>
      <c r="J47" s="223" t="s">
        <v>1894</v>
      </c>
      <c r="K47" s="54"/>
      <c r="L47" s="52"/>
      <c r="P47" s="52"/>
      <c r="T47" s="52"/>
      <c r="W47" s="52">
        <v>1</v>
      </c>
      <c r="X47" s="52">
        <v>80.14</v>
      </c>
      <c r="Y47" s="51">
        <v>0</v>
      </c>
      <c r="Z47" s="51">
        <v>0</v>
      </c>
      <c r="AA47" s="51">
        <v>80.14</v>
      </c>
      <c r="AB47" s="272" t="s">
        <v>1902</v>
      </c>
    </row>
    <row r="48" spans="3:28" s="51" customFormat="1" x14ac:dyDescent="0.25">
      <c r="C48" s="271"/>
      <c r="D48" s="53"/>
      <c r="E48" s="53" t="s">
        <v>1872</v>
      </c>
      <c r="F48" s="22" t="s">
        <v>62</v>
      </c>
      <c r="G48" s="22" t="s">
        <v>63</v>
      </c>
      <c r="H48" s="281">
        <v>43456</v>
      </c>
      <c r="I48" s="58">
        <f t="shared" si="0"/>
        <v>2018</v>
      </c>
      <c r="J48" s="223" t="s">
        <v>1895</v>
      </c>
      <c r="K48" s="54"/>
      <c r="L48" s="52"/>
      <c r="P48" s="52"/>
      <c r="T48" s="52"/>
      <c r="W48" s="52">
        <v>1</v>
      </c>
      <c r="X48" s="52">
        <v>77.31</v>
      </c>
      <c r="Y48" s="51">
        <v>5.8</v>
      </c>
      <c r="Z48" s="51">
        <v>0</v>
      </c>
      <c r="AA48" s="51">
        <v>77.31</v>
      </c>
      <c r="AB48" s="272">
        <v>35</v>
      </c>
    </row>
    <row r="49" spans="3:28" s="51" customFormat="1" x14ac:dyDescent="0.25">
      <c r="C49" s="223" t="s">
        <v>1903</v>
      </c>
      <c r="D49" s="53"/>
      <c r="E49" s="53" t="s">
        <v>1872</v>
      </c>
      <c r="F49" s="22" t="s">
        <v>62</v>
      </c>
      <c r="G49" s="22" t="s">
        <v>63</v>
      </c>
      <c r="H49" s="281">
        <v>43708</v>
      </c>
      <c r="I49" s="58">
        <f t="shared" si="0"/>
        <v>2019</v>
      </c>
      <c r="J49" s="223" t="s">
        <v>1896</v>
      </c>
      <c r="K49" s="54"/>
      <c r="L49" s="52"/>
      <c r="P49" s="52"/>
      <c r="T49" s="52"/>
      <c r="W49" s="52">
        <v>2</v>
      </c>
      <c r="X49" s="52">
        <v>31.380000000000003</v>
      </c>
      <c r="Y49" s="51">
        <v>24.1</v>
      </c>
      <c r="Z49" s="51">
        <v>0</v>
      </c>
      <c r="AA49" s="51">
        <v>0</v>
      </c>
      <c r="AB49" s="272" t="s">
        <v>1900</v>
      </c>
    </row>
    <row r="50" spans="3:28" s="51" customFormat="1" x14ac:dyDescent="0.25">
      <c r="C50" s="223" t="s">
        <v>1904</v>
      </c>
      <c r="D50" s="271" t="s">
        <v>1935</v>
      </c>
      <c r="E50" s="53" t="s">
        <v>1872</v>
      </c>
      <c r="F50" s="22" t="s">
        <v>62</v>
      </c>
      <c r="G50" s="22" t="s">
        <v>63</v>
      </c>
      <c r="H50" s="281">
        <v>43718</v>
      </c>
      <c r="I50" s="58">
        <f t="shared" si="0"/>
        <v>2019</v>
      </c>
      <c r="J50" s="223" t="s">
        <v>1897</v>
      </c>
      <c r="K50" s="54"/>
      <c r="L50" s="52"/>
      <c r="P50" s="52"/>
      <c r="T50" s="52"/>
      <c r="W50" s="52">
        <v>2</v>
      </c>
      <c r="X50" s="52">
        <v>16.200000000000003</v>
      </c>
      <c r="Y50" s="51">
        <v>0.35</v>
      </c>
      <c r="Z50" s="51">
        <v>0</v>
      </c>
      <c r="AA50" s="51">
        <v>0</v>
      </c>
      <c r="AB50" s="272" t="s">
        <v>1187</v>
      </c>
    </row>
    <row r="51" spans="3:28" s="51" customFormat="1" x14ac:dyDescent="0.25">
      <c r="C51" s="223" t="s">
        <v>1905</v>
      </c>
      <c r="D51" s="53"/>
      <c r="E51" s="53" t="s">
        <v>1872</v>
      </c>
      <c r="F51" s="22" t="s">
        <v>62</v>
      </c>
      <c r="G51" s="22" t="s">
        <v>63</v>
      </c>
      <c r="H51" s="281">
        <v>43804</v>
      </c>
      <c r="I51" s="58">
        <f t="shared" si="0"/>
        <v>2019</v>
      </c>
      <c r="J51" s="223" t="s">
        <v>1898</v>
      </c>
      <c r="K51" s="54"/>
      <c r="L51" s="52"/>
      <c r="P51" s="52"/>
      <c r="T51" s="52"/>
      <c r="W51" s="52">
        <v>1</v>
      </c>
      <c r="X51" s="52">
        <v>101.2</v>
      </c>
      <c r="Y51" s="51">
        <v>15.6</v>
      </c>
      <c r="Z51" s="51">
        <v>0</v>
      </c>
      <c r="AA51" s="51">
        <v>101.2</v>
      </c>
      <c r="AB51" s="272">
        <v>35</v>
      </c>
    </row>
    <row r="52" spans="3:28" s="51" customFormat="1" x14ac:dyDescent="0.25">
      <c r="C52" s="223">
        <v>956893</v>
      </c>
      <c r="D52" s="53"/>
      <c r="E52" s="53" t="s">
        <v>1872</v>
      </c>
      <c r="F52" s="22" t="s">
        <v>62</v>
      </c>
      <c r="G52" s="22" t="s">
        <v>63</v>
      </c>
      <c r="H52" s="281">
        <v>43455</v>
      </c>
      <c r="I52" s="58">
        <f t="shared" si="0"/>
        <v>2018</v>
      </c>
      <c r="J52" s="223" t="s">
        <v>1934</v>
      </c>
      <c r="K52" s="54"/>
      <c r="L52" s="52"/>
      <c r="P52" s="52"/>
      <c r="T52" s="52"/>
      <c r="W52" s="52">
        <v>1</v>
      </c>
      <c r="X52" s="52">
        <v>44.06</v>
      </c>
      <c r="Y52" s="51">
        <v>44.06</v>
      </c>
      <c r="Z52" s="51">
        <v>0</v>
      </c>
      <c r="AA52" s="51">
        <v>44.06</v>
      </c>
      <c r="AB52" s="272">
        <v>35</v>
      </c>
    </row>
    <row r="53" spans="3:28" s="51" customFormat="1" x14ac:dyDescent="0.25">
      <c r="C53" s="2" t="s">
        <v>1699</v>
      </c>
      <c r="D53" s="2" t="s">
        <v>1639</v>
      </c>
      <c r="E53" s="22" t="s">
        <v>61</v>
      </c>
      <c r="F53" s="22" t="s">
        <v>62</v>
      </c>
      <c r="G53" s="22" t="s">
        <v>63</v>
      </c>
      <c r="H53" s="23">
        <v>38786</v>
      </c>
      <c r="I53" s="58">
        <f t="shared" ref="I53:I114" si="1">YEAR(H53)</f>
        <v>2006</v>
      </c>
      <c r="J53" t="s">
        <v>1760</v>
      </c>
      <c r="K53" s="25"/>
      <c r="L53" s="52" t="s">
        <v>65</v>
      </c>
      <c r="M53" s="51">
        <v>6</v>
      </c>
      <c r="N53" s="51">
        <v>0</v>
      </c>
      <c r="O53" s="51">
        <v>0</v>
      </c>
      <c r="P53" s="52"/>
      <c r="Q53" s="51">
        <v>2</v>
      </c>
      <c r="R53" s="2">
        <v>0</v>
      </c>
      <c r="S53" s="2">
        <v>0</v>
      </c>
      <c r="T53" s="41">
        <f t="shared" ref="T53:T114" si="2">Q53-M53</f>
        <v>-4</v>
      </c>
      <c r="U53" s="2">
        <f t="shared" ref="U53:U116" si="3">R53-N53</f>
        <v>0</v>
      </c>
      <c r="V53" s="2">
        <f t="shared" ref="V53:V116" si="4">S53-O53</f>
        <v>0</v>
      </c>
      <c r="W53" s="41"/>
      <c r="X53" s="52">
        <v>115</v>
      </c>
      <c r="Y53" s="51">
        <v>0</v>
      </c>
      <c r="Z53" s="51">
        <v>115</v>
      </c>
      <c r="AA53" s="51">
        <v>115</v>
      </c>
      <c r="AB53" s="272" t="s">
        <v>1764</v>
      </c>
    </row>
    <row r="54" spans="3:28" s="51" customFormat="1" x14ac:dyDescent="0.25">
      <c r="C54" s="2" t="s">
        <v>1699</v>
      </c>
      <c r="D54" s="2" t="s">
        <v>1640</v>
      </c>
      <c r="E54" s="22" t="s">
        <v>61</v>
      </c>
      <c r="F54" s="22" t="s">
        <v>62</v>
      </c>
      <c r="G54" s="22" t="s">
        <v>63</v>
      </c>
      <c r="H54" s="23">
        <v>38786</v>
      </c>
      <c r="I54" s="58">
        <f t="shared" si="1"/>
        <v>2006</v>
      </c>
      <c r="J54" t="s">
        <v>1761</v>
      </c>
      <c r="K54" s="25"/>
      <c r="L54" s="52" t="s">
        <v>65</v>
      </c>
      <c r="M54" s="51">
        <v>6</v>
      </c>
      <c r="N54" s="51">
        <v>0</v>
      </c>
      <c r="O54" s="51">
        <v>0</v>
      </c>
      <c r="P54" s="52"/>
      <c r="Q54" s="51">
        <v>2</v>
      </c>
      <c r="R54" s="2">
        <v>0</v>
      </c>
      <c r="S54" s="2">
        <v>0</v>
      </c>
      <c r="T54" s="41">
        <f t="shared" si="2"/>
        <v>-4</v>
      </c>
      <c r="U54" s="2">
        <f t="shared" si="3"/>
        <v>0</v>
      </c>
      <c r="V54" s="2">
        <f t="shared" si="4"/>
        <v>0</v>
      </c>
      <c r="W54" s="41"/>
      <c r="X54" s="52">
        <v>115</v>
      </c>
      <c r="Y54" s="51">
        <v>0</v>
      </c>
      <c r="Z54" s="51">
        <v>115</v>
      </c>
      <c r="AA54" s="51">
        <v>115</v>
      </c>
      <c r="AB54" s="272" t="s">
        <v>1765</v>
      </c>
    </row>
    <row r="55" spans="3:28" s="51" customFormat="1" x14ac:dyDescent="0.25">
      <c r="C55" s="2" t="s">
        <v>1699</v>
      </c>
      <c r="D55" s="2" t="s">
        <v>1641</v>
      </c>
      <c r="E55" s="22" t="s">
        <v>61</v>
      </c>
      <c r="F55" s="22" t="s">
        <v>62</v>
      </c>
      <c r="G55" s="22" t="s">
        <v>63</v>
      </c>
      <c r="H55" s="23">
        <v>38786</v>
      </c>
      <c r="I55" s="58">
        <f t="shared" si="1"/>
        <v>2006</v>
      </c>
      <c r="J55" t="s">
        <v>1763</v>
      </c>
      <c r="K55" s="25"/>
      <c r="L55" s="52" t="s">
        <v>65</v>
      </c>
      <c r="M55" s="51">
        <v>6</v>
      </c>
      <c r="N55" s="51">
        <v>0</v>
      </c>
      <c r="O55" s="51">
        <v>0</v>
      </c>
      <c r="P55" s="52"/>
      <c r="Q55" s="51">
        <v>2</v>
      </c>
      <c r="R55" s="2">
        <v>0</v>
      </c>
      <c r="S55" s="2">
        <v>0</v>
      </c>
      <c r="T55" s="41">
        <f t="shared" si="2"/>
        <v>-4</v>
      </c>
      <c r="U55" s="2">
        <f t="shared" si="3"/>
        <v>0</v>
      </c>
      <c r="V55" s="2">
        <f t="shared" si="4"/>
        <v>0</v>
      </c>
      <c r="W55" s="41"/>
      <c r="X55" s="52">
        <v>115</v>
      </c>
      <c r="Y55" s="51">
        <v>21.1</v>
      </c>
      <c r="Z55" s="51">
        <v>115</v>
      </c>
      <c r="AA55" s="51">
        <v>115</v>
      </c>
      <c r="AB55" s="272" t="s">
        <v>1766</v>
      </c>
    </row>
    <row r="56" spans="3:28" s="51" customFormat="1" x14ac:dyDescent="0.25">
      <c r="C56" s="2" t="s">
        <v>1699</v>
      </c>
      <c r="D56" s="2" t="s">
        <v>1642</v>
      </c>
      <c r="E56" s="22" t="s">
        <v>61</v>
      </c>
      <c r="F56" s="22" t="s">
        <v>62</v>
      </c>
      <c r="G56" s="22" t="s">
        <v>63</v>
      </c>
      <c r="H56" s="23">
        <v>38786</v>
      </c>
      <c r="I56" s="58">
        <f t="shared" si="1"/>
        <v>2006</v>
      </c>
      <c r="J56" t="s">
        <v>1762</v>
      </c>
      <c r="K56" s="25"/>
      <c r="L56" s="52" t="s">
        <v>65</v>
      </c>
      <c r="M56" s="51">
        <v>21</v>
      </c>
      <c r="N56" s="51">
        <v>0</v>
      </c>
      <c r="O56" s="51">
        <v>0</v>
      </c>
      <c r="P56" s="52"/>
      <c r="Q56" s="51">
        <v>2</v>
      </c>
      <c r="R56" s="2">
        <v>0</v>
      </c>
      <c r="S56" s="2">
        <v>0</v>
      </c>
      <c r="T56" s="41">
        <f t="shared" si="2"/>
        <v>-19</v>
      </c>
      <c r="U56" s="2">
        <f t="shared" si="3"/>
        <v>0</v>
      </c>
      <c r="V56" s="2">
        <f t="shared" si="4"/>
        <v>0</v>
      </c>
      <c r="W56" s="41"/>
      <c r="X56" s="52">
        <v>162</v>
      </c>
      <c r="Y56" s="51">
        <v>101.9</v>
      </c>
      <c r="Z56" s="51">
        <v>162</v>
      </c>
      <c r="AA56" s="51">
        <v>162</v>
      </c>
      <c r="AB56" s="272" t="s">
        <v>1767</v>
      </c>
    </row>
    <row r="57" spans="3:28" s="51" customFormat="1" x14ac:dyDescent="0.25">
      <c r="C57" s="2" t="s">
        <v>1749</v>
      </c>
      <c r="D57" s="2" t="s">
        <v>1643</v>
      </c>
      <c r="E57" s="22" t="s">
        <v>61</v>
      </c>
      <c r="F57" s="22" t="s">
        <v>62</v>
      </c>
      <c r="G57" s="22" t="s">
        <v>63</v>
      </c>
      <c r="H57" s="23">
        <v>39204</v>
      </c>
      <c r="I57" s="58">
        <f t="shared" si="1"/>
        <v>2007</v>
      </c>
      <c r="J57" s="24" t="s">
        <v>1756</v>
      </c>
      <c r="K57" s="25"/>
      <c r="L57" s="52" t="s">
        <v>65</v>
      </c>
      <c r="N57" s="51">
        <v>0</v>
      </c>
      <c r="O57" s="51">
        <v>0</v>
      </c>
      <c r="P57" s="52"/>
      <c r="R57" s="2">
        <v>0</v>
      </c>
      <c r="S57" s="2">
        <v>0</v>
      </c>
      <c r="T57" s="41">
        <f t="shared" si="2"/>
        <v>0</v>
      </c>
      <c r="U57" s="2">
        <f t="shared" si="3"/>
        <v>0</v>
      </c>
      <c r="V57" s="2">
        <f t="shared" si="4"/>
        <v>0</v>
      </c>
      <c r="W57" s="41"/>
      <c r="X57" s="52">
        <v>0.08</v>
      </c>
      <c r="Y57" s="51">
        <v>0</v>
      </c>
      <c r="Z57" s="51">
        <v>0.08</v>
      </c>
      <c r="AA57" s="51">
        <v>0</v>
      </c>
      <c r="AB57" s="272" t="s">
        <v>1768</v>
      </c>
    </row>
    <row r="58" spans="3:28" s="51" customFormat="1" x14ac:dyDescent="0.25">
      <c r="C58" s="2" t="s">
        <v>1700</v>
      </c>
      <c r="D58" s="2" t="s">
        <v>1644</v>
      </c>
      <c r="E58" s="22" t="s">
        <v>61</v>
      </c>
      <c r="F58" s="22" t="s">
        <v>62</v>
      </c>
      <c r="G58" s="22" t="s">
        <v>63</v>
      </c>
      <c r="H58" s="23">
        <v>39227</v>
      </c>
      <c r="I58" s="58">
        <f t="shared" si="1"/>
        <v>2007</v>
      </c>
      <c r="J58" t="s">
        <v>1812</v>
      </c>
      <c r="K58" s="25"/>
      <c r="L58" s="52" t="s">
        <v>65</v>
      </c>
      <c r="N58" s="51">
        <v>0</v>
      </c>
      <c r="O58" s="51">
        <v>0</v>
      </c>
      <c r="P58" s="52"/>
      <c r="R58" s="2">
        <v>0</v>
      </c>
      <c r="S58" s="2">
        <v>0</v>
      </c>
      <c r="T58" s="41">
        <f t="shared" si="2"/>
        <v>0</v>
      </c>
      <c r="U58" s="2">
        <f t="shared" si="3"/>
        <v>0</v>
      </c>
      <c r="V58" s="2">
        <f t="shared" si="4"/>
        <v>0</v>
      </c>
      <c r="W58" s="41"/>
      <c r="X58" s="52">
        <v>14</v>
      </c>
      <c r="Y58" s="51">
        <v>0</v>
      </c>
      <c r="Z58" s="51">
        <v>14</v>
      </c>
      <c r="AA58" s="51">
        <v>14</v>
      </c>
      <c r="AB58" s="272" t="s">
        <v>1769</v>
      </c>
    </row>
    <row r="59" spans="3:28" s="51" customFormat="1" x14ac:dyDescent="0.25">
      <c r="C59" s="2" t="s">
        <v>1701</v>
      </c>
      <c r="D59" s="2" t="s">
        <v>1645</v>
      </c>
      <c r="E59" s="22" t="s">
        <v>61</v>
      </c>
      <c r="F59" s="22" t="s">
        <v>62</v>
      </c>
      <c r="G59" s="22" t="s">
        <v>63</v>
      </c>
      <c r="H59" s="23">
        <v>39279</v>
      </c>
      <c r="I59" s="58">
        <f t="shared" si="1"/>
        <v>2007</v>
      </c>
      <c r="J59" t="s">
        <v>1868</v>
      </c>
      <c r="K59" s="25"/>
      <c r="L59" s="52" t="s">
        <v>65</v>
      </c>
      <c r="M59" s="51">
        <v>3</v>
      </c>
      <c r="N59" s="51">
        <v>0</v>
      </c>
      <c r="O59" s="51">
        <v>0</v>
      </c>
      <c r="P59" s="52"/>
      <c r="Q59" s="51">
        <v>1</v>
      </c>
      <c r="R59" s="2">
        <v>0</v>
      </c>
      <c r="S59" s="2">
        <v>0</v>
      </c>
      <c r="T59" s="41">
        <f t="shared" si="2"/>
        <v>-2</v>
      </c>
      <c r="U59" s="2">
        <f t="shared" si="3"/>
        <v>0</v>
      </c>
      <c r="V59" s="2">
        <f t="shared" si="4"/>
        <v>0</v>
      </c>
      <c r="W59" s="41"/>
      <c r="X59" s="52">
        <v>36.56</v>
      </c>
      <c r="Y59" s="51">
        <v>36.56</v>
      </c>
      <c r="Z59" s="51">
        <v>0</v>
      </c>
      <c r="AA59" s="51">
        <v>0</v>
      </c>
      <c r="AB59" s="272"/>
    </row>
    <row r="60" spans="3:28" s="51" customFormat="1" x14ac:dyDescent="0.25">
      <c r="C60" s="2" t="s">
        <v>1750</v>
      </c>
      <c r="D60" s="2" t="s">
        <v>1646</v>
      </c>
      <c r="E60" s="22" t="s">
        <v>61</v>
      </c>
      <c r="F60" s="22" t="s">
        <v>62</v>
      </c>
      <c r="G60" s="22" t="s">
        <v>63</v>
      </c>
      <c r="H60" s="23">
        <v>39490</v>
      </c>
      <c r="I60" s="58">
        <f t="shared" si="1"/>
        <v>2008</v>
      </c>
      <c r="J60" t="s">
        <v>1869</v>
      </c>
      <c r="K60" s="25"/>
      <c r="L60" s="52" t="s">
        <v>1698</v>
      </c>
      <c r="N60" s="51">
        <v>0</v>
      </c>
      <c r="O60" s="51">
        <v>0</v>
      </c>
      <c r="P60" s="52"/>
      <c r="R60" s="2">
        <v>0</v>
      </c>
      <c r="S60" s="2">
        <v>0</v>
      </c>
      <c r="T60" s="41">
        <f t="shared" si="2"/>
        <v>0</v>
      </c>
      <c r="U60" s="2">
        <f t="shared" si="3"/>
        <v>0</v>
      </c>
      <c r="V60" s="2">
        <f t="shared" si="4"/>
        <v>0</v>
      </c>
      <c r="W60" s="41"/>
      <c r="X60" s="52">
        <v>1.25</v>
      </c>
      <c r="Y60" s="51">
        <v>1.25</v>
      </c>
      <c r="Z60" s="51">
        <v>0</v>
      </c>
      <c r="AA60" s="51">
        <v>0</v>
      </c>
      <c r="AB60" s="272" t="s">
        <v>1770</v>
      </c>
    </row>
    <row r="61" spans="3:28" s="51" customFormat="1" x14ac:dyDescent="0.25">
      <c r="C61" s="2" t="s">
        <v>1702</v>
      </c>
      <c r="D61" s="2" t="s">
        <v>1647</v>
      </c>
      <c r="E61" s="22" t="s">
        <v>61</v>
      </c>
      <c r="F61" s="22" t="s">
        <v>62</v>
      </c>
      <c r="G61" s="22" t="s">
        <v>63</v>
      </c>
      <c r="H61" s="23">
        <v>39259</v>
      </c>
      <c r="I61" s="58">
        <f t="shared" si="1"/>
        <v>2007</v>
      </c>
      <c r="J61" t="s">
        <v>1867</v>
      </c>
      <c r="K61" s="25"/>
      <c r="L61" s="52" t="s">
        <v>65</v>
      </c>
      <c r="M61" s="51">
        <v>17</v>
      </c>
      <c r="N61" s="51">
        <v>0</v>
      </c>
      <c r="O61" s="51">
        <v>0</v>
      </c>
      <c r="P61" s="52"/>
      <c r="Q61" s="51">
        <v>4</v>
      </c>
      <c r="R61" s="2">
        <v>0</v>
      </c>
      <c r="S61" s="2">
        <v>0</v>
      </c>
      <c r="T61" s="41">
        <f t="shared" si="2"/>
        <v>-13</v>
      </c>
      <c r="U61" s="2">
        <f t="shared" si="3"/>
        <v>0</v>
      </c>
      <c r="V61" s="2">
        <f t="shared" si="4"/>
        <v>0</v>
      </c>
      <c r="W61" s="41"/>
      <c r="X61" s="52">
        <v>136.5</v>
      </c>
      <c r="Y61" s="51">
        <v>12.29</v>
      </c>
      <c r="Z61" s="51">
        <v>136.5</v>
      </c>
      <c r="AA61" s="51">
        <v>136.5</v>
      </c>
      <c r="AB61" s="272" t="s">
        <v>1771</v>
      </c>
    </row>
    <row r="62" spans="3:28" s="51" customFormat="1" x14ac:dyDescent="0.25">
      <c r="C62" s="2" t="s">
        <v>1703</v>
      </c>
      <c r="D62" s="2" t="s">
        <v>1648</v>
      </c>
      <c r="E62" s="22" t="s">
        <v>61</v>
      </c>
      <c r="F62" s="22" t="s">
        <v>62</v>
      </c>
      <c r="G62" s="22" t="s">
        <v>63</v>
      </c>
      <c r="H62" s="23">
        <v>39294</v>
      </c>
      <c r="I62" s="58">
        <f t="shared" si="1"/>
        <v>2007</v>
      </c>
      <c r="J62" t="s">
        <v>1816</v>
      </c>
      <c r="K62" s="25"/>
      <c r="L62" s="52" t="s">
        <v>65</v>
      </c>
      <c r="M62" s="51">
        <v>3</v>
      </c>
      <c r="N62" s="51">
        <v>0</v>
      </c>
      <c r="O62" s="51">
        <v>0</v>
      </c>
      <c r="P62" s="52"/>
      <c r="Q62" s="51">
        <v>3</v>
      </c>
      <c r="R62" s="2">
        <v>0</v>
      </c>
      <c r="S62" s="2">
        <v>0</v>
      </c>
      <c r="T62" s="41">
        <f t="shared" si="2"/>
        <v>0</v>
      </c>
      <c r="U62" s="2">
        <f t="shared" si="3"/>
        <v>0</v>
      </c>
      <c r="V62" s="2">
        <f t="shared" si="4"/>
        <v>0</v>
      </c>
      <c r="W62" s="41"/>
      <c r="X62" s="52">
        <v>49.73</v>
      </c>
      <c r="Y62" s="51">
        <v>49.73</v>
      </c>
      <c r="Z62" s="51">
        <v>0</v>
      </c>
      <c r="AA62" s="51">
        <v>0</v>
      </c>
      <c r="AB62" s="272" t="s">
        <v>1772</v>
      </c>
    </row>
    <row r="63" spans="3:28" s="51" customFormat="1" x14ac:dyDescent="0.25">
      <c r="C63" s="2" t="s">
        <v>1704</v>
      </c>
      <c r="D63" s="2" t="s">
        <v>1649</v>
      </c>
      <c r="E63" s="22" t="s">
        <v>61</v>
      </c>
      <c r="F63" s="22" t="s">
        <v>62</v>
      </c>
      <c r="G63" s="22" t="s">
        <v>63</v>
      </c>
      <c r="H63" s="23">
        <v>39302</v>
      </c>
      <c r="I63" s="58">
        <f t="shared" si="1"/>
        <v>2007</v>
      </c>
      <c r="J63" t="s">
        <v>1813</v>
      </c>
      <c r="K63" s="25"/>
      <c r="L63" s="52" t="s">
        <v>65</v>
      </c>
      <c r="N63" s="51">
        <v>0</v>
      </c>
      <c r="O63" s="51">
        <v>0</v>
      </c>
      <c r="P63" s="52"/>
      <c r="R63" s="2">
        <v>0</v>
      </c>
      <c r="S63" s="2">
        <v>0</v>
      </c>
      <c r="T63" s="41">
        <f t="shared" si="2"/>
        <v>0</v>
      </c>
      <c r="U63" s="2">
        <f t="shared" si="3"/>
        <v>0</v>
      </c>
      <c r="V63" s="2">
        <f t="shared" si="4"/>
        <v>0</v>
      </c>
      <c r="W63" s="41"/>
      <c r="X63" s="52">
        <v>1320</v>
      </c>
      <c r="Y63" s="51">
        <v>201.97</v>
      </c>
      <c r="Z63" s="51">
        <v>607.37</v>
      </c>
      <c r="AA63" s="51">
        <v>1320</v>
      </c>
      <c r="AB63" s="272" t="s">
        <v>1773</v>
      </c>
    </row>
    <row r="64" spans="3:28" s="51" customFormat="1" x14ac:dyDescent="0.25">
      <c r="C64" s="2" t="s">
        <v>1705</v>
      </c>
      <c r="D64" s="2" t="s">
        <v>1650</v>
      </c>
      <c r="E64" s="22" t="s">
        <v>61</v>
      </c>
      <c r="F64" s="22" t="s">
        <v>62</v>
      </c>
      <c r="G64" s="22" t="s">
        <v>63</v>
      </c>
      <c r="H64" s="23">
        <v>39302</v>
      </c>
      <c r="I64" s="58">
        <f t="shared" si="1"/>
        <v>2007</v>
      </c>
      <c r="J64" t="s">
        <v>1814</v>
      </c>
      <c r="K64" s="25"/>
      <c r="L64" s="52" t="s">
        <v>65</v>
      </c>
      <c r="N64" s="51">
        <v>0</v>
      </c>
      <c r="O64" s="51">
        <v>0</v>
      </c>
      <c r="P64" s="52"/>
      <c r="R64" s="2">
        <v>0</v>
      </c>
      <c r="S64" s="2">
        <v>0</v>
      </c>
      <c r="T64" s="41">
        <f t="shared" si="2"/>
        <v>0</v>
      </c>
      <c r="U64" s="2">
        <f t="shared" si="3"/>
        <v>0</v>
      </c>
      <c r="V64" s="2">
        <f t="shared" si="4"/>
        <v>0</v>
      </c>
      <c r="W64" s="41"/>
      <c r="X64" s="52">
        <v>246.36</v>
      </c>
      <c r="Y64" s="51">
        <v>0</v>
      </c>
      <c r="Z64" s="51">
        <v>246.36</v>
      </c>
      <c r="AA64" s="51">
        <v>0</v>
      </c>
      <c r="AB64" s="272" t="s">
        <v>1774</v>
      </c>
    </row>
    <row r="65" spans="3:28" s="51" customFormat="1" x14ac:dyDescent="0.25">
      <c r="C65" s="2" t="s">
        <v>1706</v>
      </c>
      <c r="D65" s="2" t="s">
        <v>1651</v>
      </c>
      <c r="E65" s="22" t="s">
        <v>61</v>
      </c>
      <c r="F65" s="22" t="s">
        <v>62</v>
      </c>
      <c r="G65" s="22"/>
      <c r="H65" s="23">
        <v>39302</v>
      </c>
      <c r="I65" s="58">
        <f t="shared" si="1"/>
        <v>2007</v>
      </c>
      <c r="J65" t="s">
        <v>1815</v>
      </c>
      <c r="K65" s="25"/>
      <c r="L65" s="52" t="s">
        <v>65</v>
      </c>
      <c r="N65" s="51">
        <v>0</v>
      </c>
      <c r="O65" s="51">
        <v>0</v>
      </c>
      <c r="P65" s="52"/>
      <c r="R65" s="2">
        <v>0</v>
      </c>
      <c r="S65" s="2">
        <v>0</v>
      </c>
      <c r="T65" s="41">
        <f t="shared" si="2"/>
        <v>0</v>
      </c>
      <c r="U65" s="2">
        <f t="shared" si="3"/>
        <v>0</v>
      </c>
      <c r="V65" s="2">
        <f t="shared" si="4"/>
        <v>0</v>
      </c>
      <c r="W65" s="41"/>
      <c r="X65" s="52">
        <v>12.41</v>
      </c>
      <c r="Y65" s="51">
        <v>0</v>
      </c>
      <c r="Z65" s="51">
        <v>12.41</v>
      </c>
      <c r="AA65" s="51">
        <v>0</v>
      </c>
      <c r="AB65" s="272" t="s">
        <v>1774</v>
      </c>
    </row>
    <row r="66" spans="3:28" s="51" customFormat="1" x14ac:dyDescent="0.25">
      <c r="C66" s="2" t="s">
        <v>1707</v>
      </c>
      <c r="D66" s="2" t="s">
        <v>1652</v>
      </c>
      <c r="E66" s="22" t="s">
        <v>61</v>
      </c>
      <c r="F66" s="22" t="s">
        <v>62</v>
      </c>
      <c r="G66" s="22" t="s">
        <v>63</v>
      </c>
      <c r="H66" s="23">
        <v>39370</v>
      </c>
      <c r="I66" s="58">
        <f t="shared" si="1"/>
        <v>2007</v>
      </c>
      <c r="J66" t="s">
        <v>1866</v>
      </c>
      <c r="K66" s="25"/>
      <c r="L66" s="52" t="s">
        <v>1758</v>
      </c>
      <c r="M66" s="51">
        <v>3</v>
      </c>
      <c r="N66" s="51">
        <v>0</v>
      </c>
      <c r="O66" s="51">
        <v>0</v>
      </c>
      <c r="P66" s="52"/>
      <c r="Q66" s="51">
        <v>0</v>
      </c>
      <c r="R66" s="2">
        <v>0</v>
      </c>
      <c r="S66" s="2">
        <v>0</v>
      </c>
      <c r="T66" s="41">
        <f t="shared" si="2"/>
        <v>-3</v>
      </c>
      <c r="U66" s="2">
        <f t="shared" si="3"/>
        <v>0</v>
      </c>
      <c r="V66" s="2">
        <f t="shared" si="4"/>
        <v>0</v>
      </c>
      <c r="W66" s="41"/>
      <c r="X66" s="52">
        <v>10.9</v>
      </c>
      <c r="Y66" s="51">
        <v>0</v>
      </c>
      <c r="Z66" s="51">
        <v>0</v>
      </c>
      <c r="AA66" s="51">
        <v>0</v>
      </c>
      <c r="AB66" s="272"/>
    </row>
    <row r="67" spans="3:28" s="51" customFormat="1" x14ac:dyDescent="0.25">
      <c r="C67" s="2" t="s">
        <v>1708</v>
      </c>
      <c r="D67" s="2" t="s">
        <v>1653</v>
      </c>
      <c r="E67" s="22" t="s">
        <v>61</v>
      </c>
      <c r="F67" s="22" t="s">
        <v>62</v>
      </c>
      <c r="G67" s="22" t="s">
        <v>63</v>
      </c>
      <c r="H67" s="23">
        <v>39442</v>
      </c>
      <c r="I67" s="58">
        <f t="shared" si="1"/>
        <v>2007</v>
      </c>
      <c r="J67" t="s">
        <v>1865</v>
      </c>
      <c r="K67" s="25"/>
      <c r="L67" s="52" t="s">
        <v>65</v>
      </c>
      <c r="M67" s="51">
        <v>2</v>
      </c>
      <c r="N67" s="51">
        <v>0</v>
      </c>
      <c r="O67" s="51">
        <v>0</v>
      </c>
      <c r="P67" s="52"/>
      <c r="Q67" s="51">
        <v>0</v>
      </c>
      <c r="R67" s="2">
        <v>0</v>
      </c>
      <c r="S67" s="2">
        <v>0</v>
      </c>
      <c r="T67" s="41">
        <f t="shared" si="2"/>
        <v>-2</v>
      </c>
      <c r="U67" s="2">
        <f t="shared" si="3"/>
        <v>0</v>
      </c>
      <c r="V67" s="2">
        <f t="shared" si="4"/>
        <v>0</v>
      </c>
      <c r="W67" s="41"/>
      <c r="X67" s="52">
        <v>35.89</v>
      </c>
      <c r="Y67" s="51">
        <v>35.89</v>
      </c>
      <c r="Z67" s="51">
        <v>0</v>
      </c>
      <c r="AA67" s="51">
        <v>0</v>
      </c>
      <c r="AB67" s="272" t="s">
        <v>1775</v>
      </c>
    </row>
    <row r="68" spans="3:28" s="51" customFormat="1" x14ac:dyDescent="0.25">
      <c r="C68" s="2" t="s">
        <v>1709</v>
      </c>
      <c r="D68" s="2" t="s">
        <v>1654</v>
      </c>
      <c r="E68" s="22" t="s">
        <v>61</v>
      </c>
      <c r="F68" s="22" t="s">
        <v>62</v>
      </c>
      <c r="G68" s="22" t="s">
        <v>63</v>
      </c>
      <c r="H68" s="23">
        <v>39442</v>
      </c>
      <c r="I68" s="58">
        <f t="shared" si="1"/>
        <v>2007</v>
      </c>
      <c r="J68" t="s">
        <v>1864</v>
      </c>
      <c r="K68" s="25"/>
      <c r="L68" s="52" t="s">
        <v>65</v>
      </c>
      <c r="M68" s="51">
        <v>27</v>
      </c>
      <c r="N68" s="51">
        <v>0</v>
      </c>
      <c r="O68" s="51">
        <v>0</v>
      </c>
      <c r="P68" s="52"/>
      <c r="Q68" s="51">
        <v>1</v>
      </c>
      <c r="R68" s="2">
        <v>0</v>
      </c>
      <c r="S68" s="2">
        <v>0</v>
      </c>
      <c r="T68" s="41">
        <f t="shared" si="2"/>
        <v>-26</v>
      </c>
      <c r="U68" s="2">
        <f t="shared" si="3"/>
        <v>0</v>
      </c>
      <c r="V68" s="2">
        <f t="shared" si="4"/>
        <v>0</v>
      </c>
      <c r="W68" s="41"/>
      <c r="X68" s="52">
        <v>158.78</v>
      </c>
      <c r="Y68" s="51">
        <v>158.78</v>
      </c>
      <c r="Z68" s="51">
        <v>0</v>
      </c>
      <c r="AA68" s="51">
        <v>158.78</v>
      </c>
      <c r="AB68" s="272" t="s">
        <v>1776</v>
      </c>
    </row>
    <row r="69" spans="3:28" s="51" customFormat="1" x14ac:dyDescent="0.25">
      <c r="C69" s="2" t="s">
        <v>1710</v>
      </c>
      <c r="D69" s="2" t="s">
        <v>1655</v>
      </c>
      <c r="E69" s="22" t="s">
        <v>61</v>
      </c>
      <c r="F69" s="22" t="s">
        <v>62</v>
      </c>
      <c r="G69" s="22" t="s">
        <v>63</v>
      </c>
      <c r="H69" s="23">
        <v>39444</v>
      </c>
      <c r="I69" s="58">
        <f t="shared" si="1"/>
        <v>2007</v>
      </c>
      <c r="J69" t="s">
        <v>1863</v>
      </c>
      <c r="K69" s="25"/>
      <c r="L69" s="52" t="s">
        <v>65</v>
      </c>
      <c r="M69" s="51">
        <v>9</v>
      </c>
      <c r="N69" s="51">
        <v>0</v>
      </c>
      <c r="O69" s="51">
        <v>0</v>
      </c>
      <c r="P69" s="52"/>
      <c r="Q69" s="51">
        <v>2</v>
      </c>
      <c r="R69" s="2">
        <v>0</v>
      </c>
      <c r="S69" s="2">
        <v>0</v>
      </c>
      <c r="T69" s="41">
        <f t="shared" si="2"/>
        <v>-7</v>
      </c>
      <c r="U69" s="2">
        <f t="shared" si="3"/>
        <v>0</v>
      </c>
      <c r="V69" s="2">
        <f t="shared" si="4"/>
        <v>0</v>
      </c>
      <c r="W69" s="41"/>
      <c r="X69" s="52">
        <v>81.7</v>
      </c>
      <c r="Y69" s="51">
        <v>25.12</v>
      </c>
      <c r="Z69" s="51">
        <v>0</v>
      </c>
      <c r="AA69" s="51">
        <v>28.56</v>
      </c>
      <c r="AB69" s="272" t="s">
        <v>1777</v>
      </c>
    </row>
    <row r="70" spans="3:28" s="51" customFormat="1" x14ac:dyDescent="0.25">
      <c r="C70" s="2" t="s">
        <v>1711</v>
      </c>
      <c r="D70" s="2" t="s">
        <v>1656</v>
      </c>
      <c r="E70" s="22" t="s">
        <v>61</v>
      </c>
      <c r="F70" s="22" t="s">
        <v>62</v>
      </c>
      <c r="G70" s="22" t="s">
        <v>63</v>
      </c>
      <c r="H70" s="23">
        <v>39447</v>
      </c>
      <c r="I70" s="58">
        <f t="shared" si="1"/>
        <v>2007</v>
      </c>
      <c r="J70" t="s">
        <v>1861</v>
      </c>
      <c r="K70" s="25"/>
      <c r="L70" s="52" t="s">
        <v>65</v>
      </c>
      <c r="M70" s="51">
        <v>27</v>
      </c>
      <c r="N70" s="51">
        <v>0</v>
      </c>
      <c r="O70" s="51">
        <v>0</v>
      </c>
      <c r="P70" s="52"/>
      <c r="Q70" s="51">
        <v>0</v>
      </c>
      <c r="R70" s="2">
        <v>0</v>
      </c>
      <c r="S70" s="2">
        <v>0</v>
      </c>
      <c r="T70" s="41">
        <f t="shared" si="2"/>
        <v>-27</v>
      </c>
      <c r="U70" s="2">
        <f t="shared" si="3"/>
        <v>0</v>
      </c>
      <c r="V70" s="2">
        <f t="shared" si="4"/>
        <v>0</v>
      </c>
      <c r="W70" s="41"/>
      <c r="X70" s="52">
        <v>216.47</v>
      </c>
      <c r="Y70" s="51">
        <v>216.47</v>
      </c>
      <c r="Z70" s="51">
        <v>0</v>
      </c>
      <c r="AA70" s="51">
        <v>216.47</v>
      </c>
      <c r="AB70" s="272" t="s">
        <v>1778</v>
      </c>
    </row>
    <row r="71" spans="3:28" s="51" customFormat="1" x14ac:dyDescent="0.25">
      <c r="C71" s="2" t="s">
        <v>1712</v>
      </c>
      <c r="D71" s="2" t="s">
        <v>1657</v>
      </c>
      <c r="E71" s="22" t="s">
        <v>61</v>
      </c>
      <c r="F71" s="22" t="s">
        <v>62</v>
      </c>
      <c r="G71" s="22" t="s">
        <v>63</v>
      </c>
      <c r="H71" s="23">
        <v>39447</v>
      </c>
      <c r="I71" s="58">
        <f t="shared" si="1"/>
        <v>2007</v>
      </c>
      <c r="J71" t="s">
        <v>1860</v>
      </c>
      <c r="K71" s="25"/>
      <c r="L71" s="52" t="s">
        <v>65</v>
      </c>
      <c r="M71" s="51">
        <v>3</v>
      </c>
      <c r="N71" s="51">
        <v>0</v>
      </c>
      <c r="O71" s="51">
        <v>0</v>
      </c>
      <c r="P71" s="52"/>
      <c r="Q71" s="51">
        <v>0</v>
      </c>
      <c r="R71" s="2">
        <v>0</v>
      </c>
      <c r="S71" s="2">
        <v>0</v>
      </c>
      <c r="T71" s="41">
        <f t="shared" si="2"/>
        <v>-3</v>
      </c>
      <c r="U71" s="2">
        <f t="shared" si="3"/>
        <v>0</v>
      </c>
      <c r="V71" s="2">
        <f t="shared" si="4"/>
        <v>0</v>
      </c>
      <c r="W71" s="41"/>
      <c r="X71" s="52">
        <v>34.85</v>
      </c>
      <c r="Y71" s="51">
        <v>34.85</v>
      </c>
      <c r="Z71" s="51">
        <v>0</v>
      </c>
      <c r="AA71" s="51">
        <v>34.85</v>
      </c>
      <c r="AB71" s="272" t="s">
        <v>1779</v>
      </c>
    </row>
    <row r="72" spans="3:28" s="51" customFormat="1" x14ac:dyDescent="0.25">
      <c r="C72" s="2" t="s">
        <v>1713</v>
      </c>
      <c r="D72" s="2" t="s">
        <v>1658</v>
      </c>
      <c r="E72" s="22" t="s">
        <v>61</v>
      </c>
      <c r="F72" s="22" t="s">
        <v>62</v>
      </c>
      <c r="G72" s="22" t="s">
        <v>63</v>
      </c>
      <c r="H72" s="23">
        <v>39447</v>
      </c>
      <c r="I72" s="58">
        <f t="shared" si="1"/>
        <v>2007</v>
      </c>
      <c r="J72" t="s">
        <v>1859</v>
      </c>
      <c r="K72" s="25"/>
      <c r="L72" s="52" t="s">
        <v>65</v>
      </c>
      <c r="M72" s="51">
        <v>6</v>
      </c>
      <c r="N72" s="51">
        <v>0</v>
      </c>
      <c r="O72" s="51">
        <v>0</v>
      </c>
      <c r="P72" s="52"/>
      <c r="Q72" s="51">
        <v>0</v>
      </c>
      <c r="R72" s="2">
        <v>0</v>
      </c>
      <c r="S72" s="2">
        <v>0</v>
      </c>
      <c r="T72" s="41">
        <f t="shared" si="2"/>
        <v>-6</v>
      </c>
      <c r="U72" s="2">
        <f t="shared" si="3"/>
        <v>0</v>
      </c>
      <c r="V72" s="2">
        <f t="shared" si="4"/>
        <v>0</v>
      </c>
      <c r="W72" s="41"/>
      <c r="X72" s="52">
        <v>109.55</v>
      </c>
      <c r="Y72" s="51">
        <v>109.55</v>
      </c>
      <c r="Z72" s="51">
        <v>0</v>
      </c>
      <c r="AA72" s="51">
        <v>109.55</v>
      </c>
      <c r="AB72" s="272" t="s">
        <v>1780</v>
      </c>
    </row>
    <row r="73" spans="3:28" s="51" customFormat="1" x14ac:dyDescent="0.25">
      <c r="C73" s="2" t="s">
        <v>1714</v>
      </c>
      <c r="D73" s="2" t="s">
        <v>1659</v>
      </c>
      <c r="E73" s="22" t="s">
        <v>61</v>
      </c>
      <c r="F73" s="22" t="s">
        <v>62</v>
      </c>
      <c r="G73" s="22" t="s">
        <v>63</v>
      </c>
      <c r="H73" s="23">
        <v>39811</v>
      </c>
      <c r="I73" s="58">
        <f t="shared" si="1"/>
        <v>2008</v>
      </c>
      <c r="J73" t="s">
        <v>1858</v>
      </c>
      <c r="K73" s="25"/>
      <c r="L73" s="52" t="s">
        <v>1758</v>
      </c>
      <c r="M73" s="51">
        <v>2</v>
      </c>
      <c r="N73" s="51">
        <v>0</v>
      </c>
      <c r="O73" s="51">
        <v>0</v>
      </c>
      <c r="P73" s="52"/>
      <c r="Q73" s="51">
        <v>1</v>
      </c>
      <c r="R73" s="2">
        <v>0</v>
      </c>
      <c r="S73" s="2">
        <v>0</v>
      </c>
      <c r="T73" s="41">
        <f t="shared" si="2"/>
        <v>-1</v>
      </c>
      <c r="U73" s="2">
        <f t="shared" si="3"/>
        <v>0</v>
      </c>
      <c r="V73" s="2">
        <f t="shared" si="4"/>
        <v>0</v>
      </c>
      <c r="W73" s="41"/>
      <c r="X73" s="52">
        <v>8.8000000000000007</v>
      </c>
      <c r="Y73" s="51">
        <v>0</v>
      </c>
      <c r="Z73" s="51">
        <v>8.8000000000000007</v>
      </c>
      <c r="AA73" s="51">
        <v>0</v>
      </c>
      <c r="AB73" s="272" t="s">
        <v>1781</v>
      </c>
    </row>
    <row r="74" spans="3:28" s="51" customFormat="1" x14ac:dyDescent="0.25">
      <c r="C74" s="2" t="s">
        <v>1715</v>
      </c>
      <c r="D74" s="2" t="s">
        <v>1660</v>
      </c>
      <c r="E74" s="22" t="s">
        <v>61</v>
      </c>
      <c r="F74" s="22" t="s">
        <v>62</v>
      </c>
      <c r="G74" s="22" t="s">
        <v>63</v>
      </c>
      <c r="H74" s="23">
        <v>39812</v>
      </c>
      <c r="I74" s="58">
        <f t="shared" si="1"/>
        <v>2008</v>
      </c>
      <c r="J74" t="s">
        <v>1862</v>
      </c>
      <c r="K74" s="25"/>
      <c r="L74" s="52" t="s">
        <v>65</v>
      </c>
      <c r="M74" s="51">
        <v>4</v>
      </c>
      <c r="N74" s="51">
        <v>0</v>
      </c>
      <c r="O74" s="51">
        <v>0</v>
      </c>
      <c r="P74" s="52"/>
      <c r="Q74" s="51">
        <v>0</v>
      </c>
      <c r="R74" s="2">
        <v>0</v>
      </c>
      <c r="S74" s="2">
        <v>0</v>
      </c>
      <c r="T74" s="41">
        <f t="shared" si="2"/>
        <v>-4</v>
      </c>
      <c r="U74" s="2">
        <f t="shared" si="3"/>
        <v>0</v>
      </c>
      <c r="V74" s="2">
        <f t="shared" si="4"/>
        <v>0</v>
      </c>
      <c r="W74" s="41"/>
      <c r="X74" s="52">
        <v>70.86</v>
      </c>
      <c r="Y74" s="51">
        <v>70.86</v>
      </c>
      <c r="Z74" s="51">
        <v>0</v>
      </c>
      <c r="AA74" s="51">
        <v>70.86</v>
      </c>
      <c r="AB74" s="272" t="s">
        <v>1782</v>
      </c>
    </row>
    <row r="75" spans="3:28" s="51" customFormat="1" x14ac:dyDescent="0.25">
      <c r="C75" s="2" t="s">
        <v>1716</v>
      </c>
      <c r="D75" s="2" t="s">
        <v>1661</v>
      </c>
      <c r="E75" s="22" t="s">
        <v>61</v>
      </c>
      <c r="F75" s="22" t="s">
        <v>62</v>
      </c>
      <c r="G75" s="22" t="s">
        <v>63</v>
      </c>
      <c r="H75" s="23">
        <v>39924</v>
      </c>
      <c r="I75" s="58">
        <f t="shared" si="1"/>
        <v>2009</v>
      </c>
      <c r="J75" s="24" t="s">
        <v>1856</v>
      </c>
      <c r="K75" s="25"/>
      <c r="L75" s="52" t="s">
        <v>65</v>
      </c>
      <c r="M75" s="51">
        <v>2</v>
      </c>
      <c r="N75" s="51">
        <v>0</v>
      </c>
      <c r="O75" s="51">
        <v>0</v>
      </c>
      <c r="P75" s="52"/>
      <c r="Q75" s="51">
        <v>2</v>
      </c>
      <c r="R75" s="2">
        <v>0</v>
      </c>
      <c r="S75" s="2">
        <v>0</v>
      </c>
      <c r="T75" s="41">
        <f t="shared" si="2"/>
        <v>0</v>
      </c>
      <c r="U75" s="2">
        <f t="shared" si="3"/>
        <v>0</v>
      </c>
      <c r="V75" s="2">
        <f t="shared" si="4"/>
        <v>0</v>
      </c>
      <c r="W75" s="41"/>
      <c r="X75" s="52">
        <v>20.74</v>
      </c>
      <c r="Y75" s="51">
        <v>20.74</v>
      </c>
      <c r="Z75" s="51">
        <v>0</v>
      </c>
      <c r="AA75" s="51">
        <v>0</v>
      </c>
      <c r="AB75" s="272" t="s">
        <v>1783</v>
      </c>
    </row>
    <row r="76" spans="3:28" s="51" customFormat="1" x14ac:dyDescent="0.25">
      <c r="C76" s="2" t="s">
        <v>1717</v>
      </c>
      <c r="D76" s="2" t="s">
        <v>1662</v>
      </c>
      <c r="E76" s="22" t="s">
        <v>61</v>
      </c>
      <c r="F76" s="22" t="s">
        <v>62</v>
      </c>
      <c r="G76" s="22" t="s">
        <v>63</v>
      </c>
      <c r="H76" s="23">
        <v>39954</v>
      </c>
      <c r="I76" s="58">
        <f t="shared" si="1"/>
        <v>2009</v>
      </c>
      <c r="J76" t="s">
        <v>1857</v>
      </c>
      <c r="K76" s="25"/>
      <c r="L76" s="52" t="s">
        <v>1759</v>
      </c>
      <c r="N76" s="51">
        <v>0</v>
      </c>
      <c r="O76" s="51">
        <v>0</v>
      </c>
      <c r="P76" s="52"/>
      <c r="R76" s="2">
        <v>0</v>
      </c>
      <c r="S76" s="2">
        <v>0</v>
      </c>
      <c r="T76" s="41">
        <f t="shared" si="2"/>
        <v>0</v>
      </c>
      <c r="U76" s="2">
        <f t="shared" si="3"/>
        <v>0</v>
      </c>
      <c r="V76" s="2">
        <f t="shared" si="4"/>
        <v>0</v>
      </c>
      <c r="W76" s="41"/>
      <c r="X76" s="52">
        <v>2</v>
      </c>
      <c r="Y76" s="51">
        <v>2</v>
      </c>
      <c r="Z76" s="51">
        <v>2</v>
      </c>
      <c r="AA76" s="51">
        <v>0</v>
      </c>
      <c r="AB76" s="272" t="s">
        <v>1784</v>
      </c>
    </row>
    <row r="77" spans="3:28" s="51" customFormat="1" x14ac:dyDescent="0.25">
      <c r="C77" s="2" t="s">
        <v>1718</v>
      </c>
      <c r="D77" s="2" t="s">
        <v>1663</v>
      </c>
      <c r="E77" s="22" t="s">
        <v>61</v>
      </c>
      <c r="F77" s="22" t="s">
        <v>62</v>
      </c>
      <c r="G77" s="22" t="s">
        <v>63</v>
      </c>
      <c r="H77" s="23">
        <v>40116</v>
      </c>
      <c r="I77" s="58">
        <f t="shared" si="1"/>
        <v>2009</v>
      </c>
      <c r="J77" s="223" t="s">
        <v>1854</v>
      </c>
      <c r="K77" s="25"/>
      <c r="L77" s="52" t="s">
        <v>65</v>
      </c>
      <c r="N77" s="51">
        <v>0</v>
      </c>
      <c r="O77" s="51">
        <v>0</v>
      </c>
      <c r="P77" s="52"/>
      <c r="R77" s="2">
        <v>0</v>
      </c>
      <c r="S77" s="2">
        <v>0</v>
      </c>
      <c r="T77" s="41">
        <f t="shared" si="2"/>
        <v>0</v>
      </c>
      <c r="U77" s="2">
        <f t="shared" si="3"/>
        <v>0</v>
      </c>
      <c r="V77" s="2">
        <f t="shared" si="4"/>
        <v>0</v>
      </c>
      <c r="W77" s="41"/>
      <c r="X77" s="52">
        <v>4</v>
      </c>
      <c r="Y77" s="51">
        <v>0</v>
      </c>
      <c r="Z77" s="51">
        <v>0</v>
      </c>
      <c r="AA77" s="51">
        <v>0</v>
      </c>
      <c r="AB77" s="272" t="s">
        <v>1785</v>
      </c>
    </row>
    <row r="78" spans="3:28" s="51" customFormat="1" x14ac:dyDescent="0.25">
      <c r="C78" s="2" t="s">
        <v>1751</v>
      </c>
      <c r="D78" s="2" t="s">
        <v>1664</v>
      </c>
      <c r="E78" s="22" t="s">
        <v>61</v>
      </c>
      <c r="F78" s="22" t="s">
        <v>62</v>
      </c>
      <c r="G78" s="22" t="s">
        <v>63</v>
      </c>
      <c r="H78" s="23">
        <v>40114</v>
      </c>
      <c r="I78" s="58">
        <f t="shared" si="1"/>
        <v>2009</v>
      </c>
      <c r="J78" t="s">
        <v>1855</v>
      </c>
      <c r="K78" s="25"/>
      <c r="L78" s="52" t="s">
        <v>65</v>
      </c>
      <c r="M78" s="51">
        <v>4</v>
      </c>
      <c r="N78" s="51">
        <v>0</v>
      </c>
      <c r="O78" s="51">
        <v>0</v>
      </c>
      <c r="P78" s="52"/>
      <c r="Q78" s="51">
        <v>2</v>
      </c>
      <c r="R78" s="2">
        <v>0</v>
      </c>
      <c r="S78" s="2">
        <v>0</v>
      </c>
      <c r="T78" s="41">
        <f t="shared" si="2"/>
        <v>-2</v>
      </c>
      <c r="U78" s="2">
        <f t="shared" si="3"/>
        <v>0</v>
      </c>
      <c r="V78" s="2">
        <f t="shared" si="4"/>
        <v>0</v>
      </c>
      <c r="W78" s="41"/>
      <c r="X78" s="52">
        <v>54.8</v>
      </c>
      <c r="Y78" s="51">
        <v>23.82</v>
      </c>
      <c r="Z78" s="51">
        <v>0</v>
      </c>
      <c r="AA78" s="51">
        <v>0</v>
      </c>
      <c r="AB78" s="272" t="s">
        <v>1786</v>
      </c>
    </row>
    <row r="79" spans="3:28" s="51" customFormat="1" x14ac:dyDescent="0.25">
      <c r="C79" s="2" t="s">
        <v>1719</v>
      </c>
      <c r="D79" s="2" t="s">
        <v>1665</v>
      </c>
      <c r="E79" s="22" t="s">
        <v>61</v>
      </c>
      <c r="F79" s="22" t="s">
        <v>62</v>
      </c>
      <c r="G79" s="22" t="s">
        <v>63</v>
      </c>
      <c r="H79" s="23">
        <v>40456</v>
      </c>
      <c r="I79" s="58">
        <f t="shared" si="1"/>
        <v>2010</v>
      </c>
      <c r="J79" t="s">
        <v>1853</v>
      </c>
      <c r="K79" s="25"/>
      <c r="L79" s="52" t="s">
        <v>65</v>
      </c>
      <c r="M79" s="51">
        <v>4</v>
      </c>
      <c r="N79" s="51">
        <v>0</v>
      </c>
      <c r="O79" s="51">
        <v>0</v>
      </c>
      <c r="P79" s="52"/>
      <c r="Q79" s="51">
        <v>4</v>
      </c>
      <c r="R79" s="2">
        <v>0</v>
      </c>
      <c r="S79" s="2">
        <v>0</v>
      </c>
      <c r="T79" s="41">
        <f t="shared" si="2"/>
        <v>0</v>
      </c>
      <c r="U79" s="2">
        <f t="shared" si="3"/>
        <v>0</v>
      </c>
      <c r="V79" s="2">
        <f t="shared" si="4"/>
        <v>0</v>
      </c>
      <c r="W79" s="41"/>
      <c r="X79" s="52">
        <v>52.18</v>
      </c>
      <c r="Y79" s="51">
        <v>0</v>
      </c>
      <c r="Z79" s="51">
        <v>0</v>
      </c>
      <c r="AA79" s="51">
        <v>0</v>
      </c>
      <c r="AB79" s="272" t="s">
        <v>1787</v>
      </c>
    </row>
    <row r="80" spans="3:28" s="51" customFormat="1" x14ac:dyDescent="0.25">
      <c r="C80" s="2" t="s">
        <v>1752</v>
      </c>
      <c r="D80" s="2" t="s">
        <v>1665</v>
      </c>
      <c r="E80" s="22" t="s">
        <v>61</v>
      </c>
      <c r="F80" s="22" t="s">
        <v>62</v>
      </c>
      <c r="G80" s="22" t="s">
        <v>63</v>
      </c>
      <c r="H80" s="23">
        <v>40456</v>
      </c>
      <c r="I80" s="58">
        <f t="shared" si="1"/>
        <v>2010</v>
      </c>
      <c r="J80" t="s">
        <v>1854</v>
      </c>
      <c r="K80" s="25"/>
      <c r="L80" s="52" t="s">
        <v>65</v>
      </c>
      <c r="M80" s="51">
        <v>2</v>
      </c>
      <c r="N80" s="51">
        <v>0</v>
      </c>
      <c r="O80" s="51">
        <v>0</v>
      </c>
      <c r="P80" s="52"/>
      <c r="Q80" s="51">
        <v>2</v>
      </c>
      <c r="R80" s="2">
        <v>0</v>
      </c>
      <c r="S80" s="2">
        <v>0</v>
      </c>
      <c r="T80" s="41">
        <f t="shared" si="2"/>
        <v>0</v>
      </c>
      <c r="U80" s="2">
        <f t="shared" si="3"/>
        <v>0</v>
      </c>
      <c r="V80" s="2">
        <f t="shared" si="4"/>
        <v>0</v>
      </c>
      <c r="W80" s="41"/>
      <c r="X80" s="52">
        <v>5.8999999999999986</v>
      </c>
      <c r="Y80" s="51">
        <v>0</v>
      </c>
      <c r="Z80" s="51">
        <v>0</v>
      </c>
      <c r="AA80" s="51">
        <v>0</v>
      </c>
      <c r="AB80" s="272" t="s">
        <v>1788</v>
      </c>
    </row>
    <row r="81" spans="3:28" s="51" customFormat="1" x14ac:dyDescent="0.25">
      <c r="C81" s="2" t="s">
        <v>1753</v>
      </c>
      <c r="D81" s="2" t="s">
        <v>1666</v>
      </c>
      <c r="E81" s="22" t="s">
        <v>61</v>
      </c>
      <c r="F81" s="22" t="s">
        <v>62</v>
      </c>
      <c r="G81" s="22" t="s">
        <v>63</v>
      </c>
      <c r="H81" s="23">
        <v>40526</v>
      </c>
      <c r="I81" s="58">
        <f t="shared" si="1"/>
        <v>2010</v>
      </c>
      <c r="J81" t="s">
        <v>1852</v>
      </c>
      <c r="K81" s="25"/>
      <c r="L81" s="52" t="s">
        <v>65</v>
      </c>
      <c r="N81" s="51">
        <v>0</v>
      </c>
      <c r="O81" s="51">
        <v>0</v>
      </c>
      <c r="P81" s="52"/>
      <c r="R81" s="2">
        <v>0</v>
      </c>
      <c r="S81" s="2">
        <v>0</v>
      </c>
      <c r="T81" s="41">
        <f t="shared" si="2"/>
        <v>0</v>
      </c>
      <c r="U81" s="2">
        <f t="shared" si="3"/>
        <v>0</v>
      </c>
      <c r="V81" s="2">
        <f t="shared" si="4"/>
        <v>0</v>
      </c>
      <c r="W81" s="41"/>
      <c r="X81" s="52">
        <v>6.0000000000002274E-2</v>
      </c>
      <c r="Y81" s="51">
        <v>0.06</v>
      </c>
      <c r="Z81" s="51">
        <v>0</v>
      </c>
      <c r="AA81" s="51">
        <v>0</v>
      </c>
      <c r="AB81" s="272" t="s">
        <v>1789</v>
      </c>
    </row>
    <row r="82" spans="3:28" s="51" customFormat="1" x14ac:dyDescent="0.25">
      <c r="C82" s="2" t="s">
        <v>1720</v>
      </c>
      <c r="D82" s="2" t="s">
        <v>1667</v>
      </c>
      <c r="E82" s="22" t="s">
        <v>61</v>
      </c>
      <c r="F82" s="22" t="s">
        <v>62</v>
      </c>
      <c r="G82" s="22" t="s">
        <v>63</v>
      </c>
      <c r="H82" s="23">
        <v>40533</v>
      </c>
      <c r="I82" s="58">
        <f t="shared" si="1"/>
        <v>2010</v>
      </c>
      <c r="J82" t="s">
        <v>1841</v>
      </c>
      <c r="K82" s="25"/>
      <c r="L82" s="52" t="s">
        <v>65</v>
      </c>
      <c r="M82" s="51">
        <v>2</v>
      </c>
      <c r="N82" s="51">
        <v>0</v>
      </c>
      <c r="O82" s="51">
        <v>0</v>
      </c>
      <c r="P82" s="52"/>
      <c r="Q82" s="51">
        <v>2</v>
      </c>
      <c r="R82" s="2">
        <v>0</v>
      </c>
      <c r="S82" s="2">
        <v>0</v>
      </c>
      <c r="T82" s="41">
        <f t="shared" si="2"/>
        <v>0</v>
      </c>
      <c r="U82" s="2">
        <f t="shared" si="3"/>
        <v>0</v>
      </c>
      <c r="V82" s="2">
        <f t="shared" si="4"/>
        <v>0</v>
      </c>
      <c r="W82" s="41"/>
      <c r="X82" s="52">
        <v>36.94</v>
      </c>
      <c r="Y82" s="51">
        <v>36.94</v>
      </c>
      <c r="Z82" s="51">
        <v>0</v>
      </c>
      <c r="AA82" s="51">
        <v>0</v>
      </c>
      <c r="AB82" s="272" t="s">
        <v>1790</v>
      </c>
    </row>
    <row r="83" spans="3:28" s="51" customFormat="1" x14ac:dyDescent="0.25">
      <c r="C83" s="2" t="s">
        <v>1721</v>
      </c>
      <c r="D83" s="2" t="s">
        <v>1668</v>
      </c>
      <c r="E83" s="22" t="s">
        <v>61</v>
      </c>
      <c r="F83" s="22" t="s">
        <v>62</v>
      </c>
      <c r="G83" s="22" t="s">
        <v>63</v>
      </c>
      <c r="H83" s="23">
        <v>40539</v>
      </c>
      <c r="I83" s="58">
        <f t="shared" si="1"/>
        <v>2010</v>
      </c>
      <c r="J83" t="s">
        <v>1851</v>
      </c>
      <c r="K83" s="25"/>
      <c r="L83" s="52" t="s">
        <v>65</v>
      </c>
      <c r="M83" s="51">
        <v>1</v>
      </c>
      <c r="N83" s="51">
        <v>0</v>
      </c>
      <c r="O83" s="51">
        <v>0</v>
      </c>
      <c r="P83" s="52"/>
      <c r="Q83" s="51">
        <v>0</v>
      </c>
      <c r="R83" s="2">
        <v>0</v>
      </c>
      <c r="S83" s="2">
        <v>0</v>
      </c>
      <c r="T83" s="41">
        <f t="shared" si="2"/>
        <v>-1</v>
      </c>
      <c r="U83" s="2">
        <f t="shared" si="3"/>
        <v>0</v>
      </c>
      <c r="V83" s="2">
        <f t="shared" si="4"/>
        <v>0</v>
      </c>
      <c r="W83" s="41"/>
      <c r="X83" s="52">
        <v>30.4</v>
      </c>
      <c r="Y83" s="51">
        <v>6.63</v>
      </c>
      <c r="Z83" s="51">
        <v>0</v>
      </c>
      <c r="AA83" s="51">
        <v>0</v>
      </c>
      <c r="AB83" s="272" t="s">
        <v>1791</v>
      </c>
    </row>
    <row r="84" spans="3:28" s="51" customFormat="1" x14ac:dyDescent="0.25">
      <c r="C84" s="2" t="s">
        <v>1834</v>
      </c>
      <c r="D84" s="2" t="s">
        <v>1833</v>
      </c>
      <c r="E84" s="22" t="s">
        <v>61</v>
      </c>
      <c r="F84" s="22" t="s">
        <v>78</v>
      </c>
      <c r="G84" s="22" t="s">
        <v>63</v>
      </c>
      <c r="H84" s="23">
        <v>40576</v>
      </c>
      <c r="I84" s="58">
        <f t="shared" si="1"/>
        <v>2011</v>
      </c>
      <c r="J84" t="s">
        <v>1843</v>
      </c>
      <c r="K84" s="25"/>
      <c r="L84" s="52" t="s">
        <v>65</v>
      </c>
      <c r="M84" s="51">
        <v>1</v>
      </c>
      <c r="N84" s="51">
        <v>0</v>
      </c>
      <c r="O84" s="51">
        <v>0</v>
      </c>
      <c r="P84" s="52"/>
      <c r="Q84" s="51">
        <v>0</v>
      </c>
      <c r="R84" s="51">
        <v>0</v>
      </c>
      <c r="S84" s="51">
        <v>0</v>
      </c>
      <c r="T84" s="41">
        <f t="shared" si="2"/>
        <v>-1</v>
      </c>
      <c r="U84" s="2">
        <f t="shared" si="3"/>
        <v>0</v>
      </c>
      <c r="V84" s="2">
        <f t="shared" si="4"/>
        <v>0</v>
      </c>
      <c r="W84" s="41"/>
      <c r="X84" s="52">
        <v>1.91</v>
      </c>
      <c r="Y84" s="51">
        <v>1.91</v>
      </c>
      <c r="Z84" s="51">
        <v>0</v>
      </c>
      <c r="AA84" s="51">
        <v>0</v>
      </c>
      <c r="AB84" s="272"/>
    </row>
    <row r="85" spans="3:28" s="51" customFormat="1" x14ac:dyDescent="0.25">
      <c r="C85" s="2" t="s">
        <v>1722</v>
      </c>
      <c r="D85" s="2" t="s">
        <v>1669</v>
      </c>
      <c r="E85" s="22" t="s">
        <v>61</v>
      </c>
      <c r="F85" s="22" t="s">
        <v>62</v>
      </c>
      <c r="G85" s="22" t="s">
        <v>63</v>
      </c>
      <c r="H85" s="23">
        <v>40898</v>
      </c>
      <c r="I85" s="58">
        <f t="shared" si="1"/>
        <v>2011</v>
      </c>
      <c r="J85" t="s">
        <v>1850</v>
      </c>
      <c r="K85" s="25"/>
      <c r="L85" s="52" t="s">
        <v>65</v>
      </c>
      <c r="M85" s="51">
        <v>1</v>
      </c>
      <c r="N85" s="51">
        <v>0</v>
      </c>
      <c r="O85" s="51">
        <v>0</v>
      </c>
      <c r="P85" s="52"/>
      <c r="Q85" s="51">
        <v>1</v>
      </c>
      <c r="R85" s="2">
        <v>0</v>
      </c>
      <c r="S85" s="2">
        <v>0</v>
      </c>
      <c r="T85" s="41">
        <f t="shared" si="2"/>
        <v>0</v>
      </c>
      <c r="U85" s="2">
        <f t="shared" si="3"/>
        <v>0</v>
      </c>
      <c r="V85" s="2">
        <f t="shared" si="4"/>
        <v>0</v>
      </c>
      <c r="W85" s="41"/>
      <c r="X85" s="52">
        <v>19.38</v>
      </c>
      <c r="Y85" s="51">
        <v>19.38</v>
      </c>
      <c r="Z85" s="51">
        <v>0</v>
      </c>
      <c r="AA85" s="51">
        <v>0</v>
      </c>
      <c r="AB85" s="272" t="s">
        <v>1792</v>
      </c>
    </row>
    <row r="86" spans="3:28" s="51" customFormat="1" x14ac:dyDescent="0.25">
      <c r="C86" s="2" t="s">
        <v>1754</v>
      </c>
      <c r="D86" s="2" t="s">
        <v>1670</v>
      </c>
      <c r="E86" s="22" t="s">
        <v>61</v>
      </c>
      <c r="F86" s="22" t="s">
        <v>62</v>
      </c>
      <c r="G86" s="22" t="s">
        <v>63</v>
      </c>
      <c r="H86" s="23">
        <v>40932</v>
      </c>
      <c r="I86" s="58">
        <f t="shared" si="1"/>
        <v>2012</v>
      </c>
      <c r="J86" t="s">
        <v>1849</v>
      </c>
      <c r="K86" s="25"/>
      <c r="L86" s="52" t="s">
        <v>65</v>
      </c>
      <c r="M86" s="51">
        <v>2</v>
      </c>
      <c r="N86" s="51">
        <v>0</v>
      </c>
      <c r="O86" s="51">
        <v>0</v>
      </c>
      <c r="P86" s="52"/>
      <c r="Q86" s="51">
        <v>0</v>
      </c>
      <c r="R86" s="2">
        <v>0</v>
      </c>
      <c r="S86" s="2">
        <v>0</v>
      </c>
      <c r="T86" s="41">
        <f t="shared" si="2"/>
        <v>-2</v>
      </c>
      <c r="U86" s="2">
        <f t="shared" si="3"/>
        <v>0</v>
      </c>
      <c r="V86" s="2">
        <f t="shared" si="4"/>
        <v>0</v>
      </c>
      <c r="W86" s="41"/>
      <c r="X86" s="52">
        <v>0</v>
      </c>
      <c r="Y86" s="51">
        <v>0</v>
      </c>
      <c r="Z86" s="51">
        <v>0</v>
      </c>
      <c r="AA86" s="51">
        <v>0</v>
      </c>
      <c r="AB86" s="272" t="s">
        <v>1793</v>
      </c>
    </row>
    <row r="87" spans="3:28" s="51" customFormat="1" x14ac:dyDescent="0.25">
      <c r="C87" s="2" t="s">
        <v>1755</v>
      </c>
      <c r="D87" s="2" t="s">
        <v>1671</v>
      </c>
      <c r="E87" s="22" t="s">
        <v>61</v>
      </c>
      <c r="F87" s="22" t="s">
        <v>62</v>
      </c>
      <c r="G87" s="22" t="s">
        <v>63</v>
      </c>
      <c r="H87" s="23">
        <v>41082</v>
      </c>
      <c r="I87" s="58">
        <f t="shared" si="1"/>
        <v>2012</v>
      </c>
      <c r="J87" t="s">
        <v>1848</v>
      </c>
      <c r="K87" s="25"/>
      <c r="L87" s="52" t="s">
        <v>65</v>
      </c>
      <c r="N87" s="51">
        <v>0</v>
      </c>
      <c r="O87" s="51">
        <v>0</v>
      </c>
      <c r="P87" s="52"/>
      <c r="R87" s="2">
        <v>0</v>
      </c>
      <c r="S87" s="2">
        <v>0</v>
      </c>
      <c r="T87" s="41">
        <f t="shared" si="2"/>
        <v>0</v>
      </c>
      <c r="U87" s="2">
        <f t="shared" si="3"/>
        <v>0</v>
      </c>
      <c r="V87" s="2">
        <f t="shared" si="4"/>
        <v>0</v>
      </c>
      <c r="W87" s="41"/>
      <c r="X87" s="52">
        <v>0.97</v>
      </c>
      <c r="Y87" s="51">
        <v>0</v>
      </c>
      <c r="Z87" s="51">
        <v>0</v>
      </c>
      <c r="AA87" s="51">
        <v>0</v>
      </c>
      <c r="AB87" s="272" t="s">
        <v>1794</v>
      </c>
    </row>
    <row r="88" spans="3:28" s="51" customFormat="1" x14ac:dyDescent="0.25">
      <c r="C88" s="2" t="s">
        <v>1723</v>
      </c>
      <c r="D88" s="2" t="s">
        <v>1672</v>
      </c>
      <c r="E88" s="22" t="s">
        <v>61</v>
      </c>
      <c r="F88" s="22" t="s">
        <v>62</v>
      </c>
      <c r="G88" s="22" t="s">
        <v>63</v>
      </c>
      <c r="H88" s="23">
        <v>41136</v>
      </c>
      <c r="I88" s="58">
        <f t="shared" si="1"/>
        <v>2012</v>
      </c>
      <c r="J88" t="s">
        <v>1847</v>
      </c>
      <c r="K88" s="25"/>
      <c r="L88" s="52" t="s">
        <v>65</v>
      </c>
      <c r="M88" s="51">
        <v>1</v>
      </c>
      <c r="N88" s="51">
        <v>0</v>
      </c>
      <c r="O88" s="51">
        <v>0</v>
      </c>
      <c r="P88" s="52"/>
      <c r="Q88" s="51">
        <v>1</v>
      </c>
      <c r="R88" s="2">
        <v>0</v>
      </c>
      <c r="S88" s="2">
        <v>0</v>
      </c>
      <c r="T88" s="41">
        <f t="shared" si="2"/>
        <v>0</v>
      </c>
      <c r="U88" s="2">
        <f t="shared" si="3"/>
        <v>0</v>
      </c>
      <c r="V88" s="2">
        <f t="shared" si="4"/>
        <v>0</v>
      </c>
      <c r="W88" s="41"/>
      <c r="X88" s="52">
        <v>49.25</v>
      </c>
      <c r="Y88" s="51">
        <v>49.25</v>
      </c>
      <c r="Z88" s="51">
        <v>0</v>
      </c>
      <c r="AA88" s="51">
        <v>0</v>
      </c>
      <c r="AB88" s="272" t="s">
        <v>1795</v>
      </c>
    </row>
    <row r="89" spans="3:28" s="51" customFormat="1" x14ac:dyDescent="0.25">
      <c r="C89" s="2" t="s">
        <v>1724</v>
      </c>
      <c r="D89" s="2" t="s">
        <v>1673</v>
      </c>
      <c r="E89" s="22" t="s">
        <v>61</v>
      </c>
      <c r="F89" s="22" t="s">
        <v>62</v>
      </c>
      <c r="G89" s="22" t="s">
        <v>63</v>
      </c>
      <c r="H89" s="23">
        <v>41122</v>
      </c>
      <c r="I89" s="58">
        <f t="shared" si="1"/>
        <v>2012</v>
      </c>
      <c r="J89" s="24" t="s">
        <v>1846</v>
      </c>
      <c r="K89" s="25"/>
      <c r="L89" s="52" t="s">
        <v>65</v>
      </c>
      <c r="M89" s="51">
        <v>3</v>
      </c>
      <c r="N89" s="51">
        <v>0</v>
      </c>
      <c r="O89" s="51">
        <v>0</v>
      </c>
      <c r="P89" s="52"/>
      <c r="Q89" s="51">
        <v>3</v>
      </c>
      <c r="R89" s="2">
        <v>0</v>
      </c>
      <c r="S89" s="2">
        <v>0</v>
      </c>
      <c r="T89" s="41">
        <f t="shared" si="2"/>
        <v>0</v>
      </c>
      <c r="U89" s="2">
        <f t="shared" si="3"/>
        <v>0</v>
      </c>
      <c r="V89" s="2">
        <f t="shared" si="4"/>
        <v>0</v>
      </c>
      <c r="W89" s="41"/>
      <c r="X89" s="52">
        <v>37.01</v>
      </c>
      <c r="Y89" s="51">
        <v>0</v>
      </c>
      <c r="Z89" s="51">
        <v>0</v>
      </c>
      <c r="AA89" s="51">
        <v>0</v>
      </c>
      <c r="AB89" s="272" t="s">
        <v>1796</v>
      </c>
    </row>
    <row r="90" spans="3:28" s="51" customFormat="1" x14ac:dyDescent="0.25">
      <c r="C90" s="2" t="s">
        <v>1725</v>
      </c>
      <c r="D90" s="2" t="s">
        <v>1674</v>
      </c>
      <c r="E90" s="22" t="s">
        <v>61</v>
      </c>
      <c r="F90" s="22" t="s">
        <v>62</v>
      </c>
      <c r="G90" s="22" t="s">
        <v>63</v>
      </c>
      <c r="H90" s="23">
        <v>41136</v>
      </c>
      <c r="I90" s="58">
        <f t="shared" si="1"/>
        <v>2012</v>
      </c>
      <c r="J90" s="24" t="s">
        <v>1845</v>
      </c>
      <c r="K90" s="25"/>
      <c r="L90" s="52" t="s">
        <v>65</v>
      </c>
      <c r="M90" s="51">
        <v>4</v>
      </c>
      <c r="N90" s="51">
        <v>0</v>
      </c>
      <c r="O90" s="51">
        <v>0</v>
      </c>
      <c r="P90" s="52"/>
      <c r="Q90" s="51">
        <v>2</v>
      </c>
      <c r="R90" s="2">
        <v>0</v>
      </c>
      <c r="S90" s="2">
        <v>0</v>
      </c>
      <c r="T90" s="41">
        <f t="shared" si="2"/>
        <v>-2</v>
      </c>
      <c r="U90" s="2">
        <f t="shared" si="3"/>
        <v>0</v>
      </c>
      <c r="V90" s="2">
        <f t="shared" si="4"/>
        <v>0</v>
      </c>
      <c r="W90" s="41"/>
      <c r="X90" s="52">
        <v>129.69999999999999</v>
      </c>
      <c r="Y90" s="51">
        <v>115.21</v>
      </c>
      <c r="Z90" s="51">
        <v>0</v>
      </c>
      <c r="AA90" s="51">
        <v>0</v>
      </c>
      <c r="AB90" s="272" t="s">
        <v>1797</v>
      </c>
    </row>
    <row r="91" spans="3:28" s="51" customFormat="1" x14ac:dyDescent="0.25">
      <c r="C91" s="2"/>
      <c r="D91" s="2" t="s">
        <v>1835</v>
      </c>
      <c r="E91" s="22" t="s">
        <v>61</v>
      </c>
      <c r="F91" s="22" t="s">
        <v>78</v>
      </c>
      <c r="G91" s="22" t="s">
        <v>63</v>
      </c>
      <c r="H91" s="23">
        <v>41247</v>
      </c>
      <c r="I91" s="58">
        <f t="shared" si="1"/>
        <v>2012</v>
      </c>
      <c r="J91" t="s">
        <v>1844</v>
      </c>
      <c r="K91" s="25"/>
      <c r="L91" s="52" t="s">
        <v>65</v>
      </c>
      <c r="M91" s="51">
        <v>1</v>
      </c>
      <c r="N91" s="51">
        <v>0</v>
      </c>
      <c r="O91" s="51">
        <v>0</v>
      </c>
      <c r="P91" s="52"/>
      <c r="Q91" s="51">
        <v>0</v>
      </c>
      <c r="R91" s="51">
        <v>0</v>
      </c>
      <c r="S91" s="51">
        <v>0</v>
      </c>
      <c r="T91" s="41">
        <f t="shared" ref="T91" si="5">Q91-M91</f>
        <v>-1</v>
      </c>
      <c r="U91" s="2">
        <f t="shared" ref="U91" si="6">R91-N91</f>
        <v>0</v>
      </c>
      <c r="V91" s="2">
        <f t="shared" ref="V91" si="7">S91-O91</f>
        <v>0</v>
      </c>
      <c r="W91" s="41"/>
      <c r="X91" s="52">
        <v>1.82</v>
      </c>
      <c r="Y91" s="51">
        <v>18.2</v>
      </c>
      <c r="Z91" s="51">
        <v>0</v>
      </c>
      <c r="AA91" s="51">
        <v>0</v>
      </c>
      <c r="AB91" s="272"/>
    </row>
    <row r="92" spans="3:28" s="51" customFormat="1" x14ac:dyDescent="0.25">
      <c r="C92" s="2" t="s">
        <v>1726</v>
      </c>
      <c r="D92" s="2" t="s">
        <v>1675</v>
      </c>
      <c r="E92" s="22" t="s">
        <v>61</v>
      </c>
      <c r="F92" s="22" t="s">
        <v>62</v>
      </c>
      <c r="G92" s="22" t="s">
        <v>63</v>
      </c>
      <c r="H92" s="23">
        <v>41271</v>
      </c>
      <c r="I92" s="58">
        <f t="shared" si="1"/>
        <v>2012</v>
      </c>
      <c r="J92" t="s">
        <v>1842</v>
      </c>
      <c r="K92" s="25"/>
      <c r="L92" s="52" t="s">
        <v>65</v>
      </c>
      <c r="M92" s="51">
        <v>3</v>
      </c>
      <c r="N92" s="51">
        <v>0</v>
      </c>
      <c r="O92" s="51">
        <v>0</v>
      </c>
      <c r="P92" s="52"/>
      <c r="Q92" s="51">
        <v>0</v>
      </c>
      <c r="R92" s="2">
        <v>0</v>
      </c>
      <c r="S92" s="2">
        <v>0</v>
      </c>
      <c r="T92" s="41">
        <f t="shared" si="2"/>
        <v>-3</v>
      </c>
      <c r="U92" s="2">
        <f t="shared" si="3"/>
        <v>0</v>
      </c>
      <c r="V92" s="2">
        <f t="shared" si="4"/>
        <v>0</v>
      </c>
      <c r="W92" s="41"/>
      <c r="X92" s="52">
        <v>35</v>
      </c>
      <c r="Y92" s="51">
        <v>33.93</v>
      </c>
      <c r="Z92" s="51">
        <v>0</v>
      </c>
      <c r="AA92" s="51">
        <v>0</v>
      </c>
      <c r="AB92" s="272"/>
    </row>
    <row r="93" spans="3:28" s="51" customFormat="1" x14ac:dyDescent="0.25">
      <c r="C93" s="2" t="s">
        <v>1727</v>
      </c>
      <c r="D93" s="2" t="s">
        <v>1676</v>
      </c>
      <c r="E93" s="22" t="s">
        <v>61</v>
      </c>
      <c r="F93" s="22" t="s">
        <v>62</v>
      </c>
      <c r="G93" s="22" t="s">
        <v>63</v>
      </c>
      <c r="H93" s="23">
        <v>41271</v>
      </c>
      <c r="I93" s="58">
        <f t="shared" si="1"/>
        <v>2012</v>
      </c>
      <c r="J93" t="s">
        <v>1840</v>
      </c>
      <c r="K93" s="25"/>
      <c r="L93" s="52" t="s">
        <v>65</v>
      </c>
      <c r="M93" s="51">
        <v>13</v>
      </c>
      <c r="N93" s="51">
        <v>0</v>
      </c>
      <c r="O93" s="51">
        <v>0</v>
      </c>
      <c r="P93" s="52"/>
      <c r="Q93" s="51">
        <v>0</v>
      </c>
      <c r="R93" s="2">
        <v>0</v>
      </c>
      <c r="S93" s="2">
        <v>0</v>
      </c>
      <c r="T93" s="41">
        <f t="shared" si="2"/>
        <v>-13</v>
      </c>
      <c r="U93" s="2">
        <f t="shared" si="3"/>
        <v>0</v>
      </c>
      <c r="V93" s="2">
        <f t="shared" si="4"/>
        <v>0</v>
      </c>
      <c r="W93" s="41"/>
      <c r="X93" s="52">
        <v>153</v>
      </c>
      <c r="Y93" s="51">
        <v>95.05</v>
      </c>
      <c r="Z93" s="51">
        <v>0</v>
      </c>
      <c r="AA93" s="51">
        <v>153</v>
      </c>
      <c r="AB93" s="272" t="s">
        <v>1798</v>
      </c>
    </row>
    <row r="94" spans="3:28" s="51" customFormat="1" x14ac:dyDescent="0.25">
      <c r="C94" s="2" t="s">
        <v>1728</v>
      </c>
      <c r="D94" s="2" t="s">
        <v>1677</v>
      </c>
      <c r="E94" s="22" t="s">
        <v>61</v>
      </c>
      <c r="F94" s="22" t="s">
        <v>62</v>
      </c>
      <c r="G94" s="22" t="s">
        <v>63</v>
      </c>
      <c r="H94" s="23">
        <v>41274</v>
      </c>
      <c r="I94" s="58">
        <f t="shared" si="1"/>
        <v>2012</v>
      </c>
      <c r="J94" t="s">
        <v>1838</v>
      </c>
      <c r="K94" s="25"/>
      <c r="L94" s="52" t="s">
        <v>1758</v>
      </c>
      <c r="M94" s="51">
        <v>1</v>
      </c>
      <c r="N94" s="51">
        <v>0</v>
      </c>
      <c r="O94" s="51">
        <v>0</v>
      </c>
      <c r="P94" s="52"/>
      <c r="Q94" s="51">
        <v>0</v>
      </c>
      <c r="R94" s="2">
        <v>0</v>
      </c>
      <c r="S94" s="2">
        <v>0</v>
      </c>
      <c r="T94" s="41">
        <f t="shared" si="2"/>
        <v>-1</v>
      </c>
      <c r="U94" s="2">
        <f t="shared" si="3"/>
        <v>0</v>
      </c>
      <c r="V94" s="2">
        <f t="shared" si="4"/>
        <v>0</v>
      </c>
      <c r="W94" s="41"/>
      <c r="X94" s="52">
        <v>4.9000000000000004</v>
      </c>
      <c r="Y94" s="51">
        <v>2.4900000000000002</v>
      </c>
      <c r="Z94" s="51">
        <v>0.34</v>
      </c>
      <c r="AA94" s="51">
        <v>0</v>
      </c>
      <c r="AB94" s="272" t="s">
        <v>1799</v>
      </c>
    </row>
    <row r="95" spans="3:28" s="51" customFormat="1" x14ac:dyDescent="0.25">
      <c r="C95" s="2" t="s">
        <v>1729</v>
      </c>
      <c r="D95" s="2" t="s">
        <v>1678</v>
      </c>
      <c r="E95" s="22" t="s">
        <v>61</v>
      </c>
      <c r="F95" s="22" t="s">
        <v>62</v>
      </c>
      <c r="G95" s="22" t="s">
        <v>63</v>
      </c>
      <c r="H95" s="23">
        <v>41274</v>
      </c>
      <c r="I95" s="58">
        <f t="shared" si="1"/>
        <v>2012</v>
      </c>
      <c r="J95" t="s">
        <v>1839</v>
      </c>
      <c r="K95" s="25"/>
      <c r="L95" s="52" t="s">
        <v>65</v>
      </c>
      <c r="M95" s="51">
        <v>6</v>
      </c>
      <c r="N95" s="51">
        <v>0</v>
      </c>
      <c r="O95" s="51">
        <v>0</v>
      </c>
      <c r="P95" s="52"/>
      <c r="Q95" s="51">
        <v>0</v>
      </c>
      <c r="R95" s="2">
        <v>0</v>
      </c>
      <c r="S95" s="2">
        <v>0</v>
      </c>
      <c r="T95" s="41">
        <f t="shared" si="2"/>
        <v>-6</v>
      </c>
      <c r="U95" s="2">
        <f t="shared" si="3"/>
        <v>0</v>
      </c>
      <c r="V95" s="2">
        <f t="shared" si="4"/>
        <v>0</v>
      </c>
      <c r="W95" s="41"/>
      <c r="X95" s="52">
        <v>62.15</v>
      </c>
      <c r="Y95" s="51">
        <v>62.15</v>
      </c>
      <c r="Z95" s="51">
        <v>0</v>
      </c>
      <c r="AA95" s="51">
        <v>0</v>
      </c>
      <c r="AB95" s="272" t="s">
        <v>1800</v>
      </c>
    </row>
    <row r="96" spans="3:28" s="51" customFormat="1" x14ac:dyDescent="0.25">
      <c r="C96" s="2" t="s">
        <v>1730</v>
      </c>
      <c r="D96" s="2" t="s">
        <v>1679</v>
      </c>
      <c r="E96" s="22" t="s">
        <v>61</v>
      </c>
      <c r="F96" s="22" t="s">
        <v>62</v>
      </c>
      <c r="G96" s="22" t="s">
        <v>63</v>
      </c>
      <c r="H96" s="23">
        <v>41400</v>
      </c>
      <c r="I96" s="58">
        <f t="shared" si="1"/>
        <v>2013</v>
      </c>
      <c r="J96" t="s">
        <v>1837</v>
      </c>
      <c r="K96" s="25"/>
      <c r="L96" s="52" t="s">
        <v>65</v>
      </c>
      <c r="M96" s="51">
        <v>3</v>
      </c>
      <c r="N96" s="51">
        <v>0</v>
      </c>
      <c r="O96" s="51">
        <v>0</v>
      </c>
      <c r="P96" s="52"/>
      <c r="Q96" s="51">
        <v>3</v>
      </c>
      <c r="R96" s="2">
        <v>0</v>
      </c>
      <c r="S96" s="2">
        <v>0</v>
      </c>
      <c r="T96" s="41">
        <f t="shared" si="2"/>
        <v>0</v>
      </c>
      <c r="U96" s="2">
        <f t="shared" si="3"/>
        <v>0</v>
      </c>
      <c r="V96" s="2">
        <f t="shared" si="4"/>
        <v>0</v>
      </c>
      <c r="W96" s="41"/>
      <c r="X96" s="52">
        <v>72.52</v>
      </c>
      <c r="Y96" s="51">
        <v>72.52</v>
      </c>
      <c r="Z96" s="51">
        <v>0</v>
      </c>
      <c r="AA96" s="51">
        <v>0</v>
      </c>
      <c r="AB96" s="272" t="s">
        <v>1801</v>
      </c>
    </row>
    <row r="97" spans="3:28" s="51" customFormat="1" x14ac:dyDescent="0.25">
      <c r="C97" s="2" t="s">
        <v>1731</v>
      </c>
      <c r="D97" s="2" t="s">
        <v>1680</v>
      </c>
      <c r="E97" s="22" t="s">
        <v>61</v>
      </c>
      <c r="F97" s="22" t="s">
        <v>62</v>
      </c>
      <c r="G97" s="22" t="s">
        <v>63</v>
      </c>
      <c r="H97" s="23">
        <v>41563</v>
      </c>
      <c r="I97" s="58">
        <f t="shared" si="1"/>
        <v>2013</v>
      </c>
      <c r="J97" t="s">
        <v>145</v>
      </c>
      <c r="K97" s="25"/>
      <c r="L97" s="52" t="s">
        <v>1698</v>
      </c>
      <c r="N97" s="51">
        <v>0</v>
      </c>
      <c r="O97" s="51">
        <v>0</v>
      </c>
      <c r="P97" s="52"/>
      <c r="R97" s="2">
        <v>0</v>
      </c>
      <c r="S97" s="2">
        <v>0</v>
      </c>
      <c r="T97" s="41">
        <f t="shared" si="2"/>
        <v>0</v>
      </c>
      <c r="U97" s="2">
        <f t="shared" si="3"/>
        <v>0</v>
      </c>
      <c r="V97" s="2">
        <f t="shared" si="4"/>
        <v>0</v>
      </c>
      <c r="W97" s="41"/>
      <c r="X97" s="52">
        <v>1.87</v>
      </c>
      <c r="Y97" s="51">
        <v>1.87</v>
      </c>
      <c r="Z97" s="51">
        <v>0</v>
      </c>
      <c r="AA97" s="51">
        <v>0</v>
      </c>
      <c r="AB97" s="272" t="s">
        <v>1802</v>
      </c>
    </row>
    <row r="98" spans="3:28" s="51" customFormat="1" x14ac:dyDescent="0.25">
      <c r="C98" s="2" t="s">
        <v>1732</v>
      </c>
      <c r="D98" s="2" t="s">
        <v>1681</v>
      </c>
      <c r="E98" s="22" t="s">
        <v>61</v>
      </c>
      <c r="F98" s="22" t="s">
        <v>62</v>
      </c>
      <c r="G98" s="22" t="s">
        <v>63</v>
      </c>
      <c r="H98" s="23">
        <v>41579</v>
      </c>
      <c r="I98" s="58">
        <f t="shared" si="1"/>
        <v>2013</v>
      </c>
      <c r="J98" t="s">
        <v>1836</v>
      </c>
      <c r="K98" s="25"/>
      <c r="L98" s="52" t="s">
        <v>65</v>
      </c>
      <c r="M98" s="51">
        <v>9</v>
      </c>
      <c r="N98" s="51">
        <v>0</v>
      </c>
      <c r="O98" s="51">
        <v>0</v>
      </c>
      <c r="P98" s="52"/>
      <c r="Q98" s="51">
        <v>0</v>
      </c>
      <c r="R98" s="2">
        <v>0</v>
      </c>
      <c r="S98" s="2">
        <v>0</v>
      </c>
      <c r="T98" s="41">
        <f t="shared" si="2"/>
        <v>-9</v>
      </c>
      <c r="U98" s="2">
        <f t="shared" si="3"/>
        <v>0</v>
      </c>
      <c r="V98" s="2">
        <f t="shared" si="4"/>
        <v>0</v>
      </c>
      <c r="W98" s="41"/>
      <c r="X98" s="52">
        <v>181.29</v>
      </c>
      <c r="Y98" s="51">
        <v>174.02</v>
      </c>
      <c r="Z98" s="51">
        <v>181.29</v>
      </c>
      <c r="AA98" s="51">
        <v>0</v>
      </c>
      <c r="AB98" s="272" t="s">
        <v>1803</v>
      </c>
    </row>
    <row r="99" spans="3:28" s="51" customFormat="1" x14ac:dyDescent="0.25">
      <c r="C99" s="2" t="s">
        <v>1733</v>
      </c>
      <c r="D99" s="2" t="s">
        <v>1682</v>
      </c>
      <c r="E99" s="22" t="s">
        <v>61</v>
      </c>
      <c r="F99" s="22" t="s">
        <v>78</v>
      </c>
      <c r="G99" s="22" t="s">
        <v>63</v>
      </c>
      <c r="H99" s="23">
        <v>41598</v>
      </c>
      <c r="I99" s="58">
        <f t="shared" si="1"/>
        <v>2013</v>
      </c>
      <c r="J99" t="s">
        <v>1832</v>
      </c>
      <c r="K99" s="25"/>
      <c r="L99" s="52" t="s">
        <v>65</v>
      </c>
      <c r="M99" s="51">
        <v>1</v>
      </c>
      <c r="N99" s="51">
        <v>0</v>
      </c>
      <c r="O99" s="51">
        <v>0</v>
      </c>
      <c r="P99" s="52"/>
      <c r="Q99" s="51">
        <v>0</v>
      </c>
      <c r="R99" s="2">
        <v>0</v>
      </c>
      <c r="S99" s="2">
        <v>0</v>
      </c>
      <c r="T99" s="41">
        <f t="shared" si="2"/>
        <v>-1</v>
      </c>
      <c r="U99" s="2">
        <f t="shared" si="3"/>
        <v>0</v>
      </c>
      <c r="V99" s="2">
        <f t="shared" si="4"/>
        <v>0</v>
      </c>
      <c r="W99" s="41"/>
      <c r="X99" s="52">
        <v>3.7</v>
      </c>
      <c r="Y99" s="51">
        <v>0.81</v>
      </c>
      <c r="Z99" s="51">
        <v>0</v>
      </c>
      <c r="AA99" s="51">
        <v>0</v>
      </c>
      <c r="AB99" s="272" t="s">
        <v>1804</v>
      </c>
    </row>
    <row r="100" spans="3:28" s="51" customFormat="1" x14ac:dyDescent="0.25">
      <c r="C100" s="2" t="s">
        <v>1734</v>
      </c>
      <c r="D100" s="2" t="s">
        <v>1683</v>
      </c>
      <c r="E100" s="22" t="s">
        <v>61</v>
      </c>
      <c r="F100" s="22" t="s">
        <v>62</v>
      </c>
      <c r="G100" s="22" t="s">
        <v>63</v>
      </c>
      <c r="H100" s="23">
        <v>41837</v>
      </c>
      <c r="I100" s="58">
        <f t="shared" si="1"/>
        <v>2014</v>
      </c>
      <c r="J100" t="s">
        <v>1830</v>
      </c>
      <c r="K100" s="25"/>
      <c r="L100" s="52" t="s">
        <v>65</v>
      </c>
      <c r="M100" s="51">
        <v>2</v>
      </c>
      <c r="N100" s="51">
        <v>0</v>
      </c>
      <c r="O100" s="51">
        <v>0</v>
      </c>
      <c r="P100" s="52"/>
      <c r="Q100" s="51">
        <v>2</v>
      </c>
      <c r="R100" s="2">
        <v>0</v>
      </c>
      <c r="S100" s="2">
        <v>0</v>
      </c>
      <c r="T100" s="41">
        <f t="shared" si="2"/>
        <v>0</v>
      </c>
      <c r="U100" s="2">
        <f t="shared" si="3"/>
        <v>0</v>
      </c>
      <c r="V100" s="2">
        <f t="shared" si="4"/>
        <v>0</v>
      </c>
      <c r="W100" s="41"/>
      <c r="X100" s="52">
        <v>37.03</v>
      </c>
      <c r="Y100" s="51">
        <v>37.03</v>
      </c>
      <c r="Z100" s="51">
        <v>0</v>
      </c>
      <c r="AA100" s="51">
        <v>0</v>
      </c>
      <c r="AB100" s="272" t="s">
        <v>1805</v>
      </c>
    </row>
    <row r="101" spans="3:28" s="51" customFormat="1" x14ac:dyDescent="0.25">
      <c r="C101" s="2" t="s">
        <v>1735</v>
      </c>
      <c r="D101" s="2" t="s">
        <v>1684</v>
      </c>
      <c r="E101" s="22" t="s">
        <v>61</v>
      </c>
      <c r="F101" s="22" t="s">
        <v>62</v>
      </c>
      <c r="G101" s="22" t="s">
        <v>63</v>
      </c>
      <c r="H101" s="23">
        <v>41892</v>
      </c>
      <c r="I101" s="58">
        <f t="shared" si="1"/>
        <v>2014</v>
      </c>
      <c r="J101" t="s">
        <v>1831</v>
      </c>
      <c r="K101" s="25"/>
      <c r="L101" s="52" t="s">
        <v>65</v>
      </c>
      <c r="M101" s="51">
        <v>1</v>
      </c>
      <c r="N101" s="51">
        <v>0</v>
      </c>
      <c r="O101" s="51">
        <v>0</v>
      </c>
      <c r="P101" s="52"/>
      <c r="Q101" s="51">
        <v>0</v>
      </c>
      <c r="R101" s="2">
        <v>0</v>
      </c>
      <c r="S101" s="2">
        <v>0</v>
      </c>
      <c r="T101" s="41">
        <f t="shared" si="2"/>
        <v>-1</v>
      </c>
      <c r="U101" s="2">
        <f t="shared" si="3"/>
        <v>0</v>
      </c>
      <c r="V101" s="2">
        <f t="shared" si="4"/>
        <v>0</v>
      </c>
      <c r="W101" s="41"/>
      <c r="X101" s="52">
        <v>38.46</v>
      </c>
      <c r="Y101" s="51">
        <v>38.46</v>
      </c>
      <c r="Z101" s="51">
        <v>0</v>
      </c>
      <c r="AA101" s="51">
        <v>0</v>
      </c>
      <c r="AB101" s="272"/>
    </row>
    <row r="102" spans="3:28" s="51" customFormat="1" x14ac:dyDescent="0.25">
      <c r="C102" s="2" t="s">
        <v>1736</v>
      </c>
      <c r="D102" s="2" t="s">
        <v>1685</v>
      </c>
      <c r="E102" s="22" t="s">
        <v>61</v>
      </c>
      <c r="F102" s="22" t="s">
        <v>62</v>
      </c>
      <c r="G102" s="22" t="s">
        <v>63</v>
      </c>
      <c r="H102" s="23">
        <v>41984</v>
      </c>
      <c r="I102" s="58">
        <f t="shared" si="1"/>
        <v>2014</v>
      </c>
      <c r="J102" t="s">
        <v>1823</v>
      </c>
      <c r="K102" s="25"/>
      <c r="L102" s="52" t="s">
        <v>1758</v>
      </c>
      <c r="M102" s="51">
        <v>1</v>
      </c>
      <c r="N102" s="51">
        <v>0</v>
      </c>
      <c r="O102" s="51">
        <v>0</v>
      </c>
      <c r="P102" s="52"/>
      <c r="Q102" s="51">
        <v>0</v>
      </c>
      <c r="R102" s="2">
        <v>0</v>
      </c>
      <c r="S102" s="2">
        <v>0</v>
      </c>
      <c r="T102" s="41">
        <f t="shared" si="2"/>
        <v>-1</v>
      </c>
      <c r="U102" s="2">
        <f t="shared" si="3"/>
        <v>0</v>
      </c>
      <c r="V102" s="2">
        <f t="shared" si="4"/>
        <v>0</v>
      </c>
      <c r="W102" s="41"/>
      <c r="X102" s="52">
        <v>3.25</v>
      </c>
      <c r="Y102" s="51">
        <v>0</v>
      </c>
      <c r="Z102" s="51">
        <v>0</v>
      </c>
      <c r="AA102" s="51">
        <v>0</v>
      </c>
      <c r="AB102" s="272" t="s">
        <v>1806</v>
      </c>
    </row>
    <row r="103" spans="3:28" s="51" customFormat="1" x14ac:dyDescent="0.25">
      <c r="C103" s="2" t="s">
        <v>1737</v>
      </c>
      <c r="D103" s="2" t="s">
        <v>1686</v>
      </c>
      <c r="E103" s="22" t="s">
        <v>61</v>
      </c>
      <c r="F103" s="22" t="s">
        <v>62</v>
      </c>
      <c r="G103" s="22" t="s">
        <v>63</v>
      </c>
      <c r="H103" s="23">
        <v>41992</v>
      </c>
      <c r="I103" s="58">
        <f t="shared" si="1"/>
        <v>2014</v>
      </c>
      <c r="J103" t="s">
        <v>1824</v>
      </c>
      <c r="K103" s="25"/>
      <c r="L103" s="52" t="s">
        <v>65</v>
      </c>
      <c r="M103" s="51">
        <v>12</v>
      </c>
      <c r="N103" s="51">
        <v>0</v>
      </c>
      <c r="O103" s="51">
        <v>0</v>
      </c>
      <c r="P103" s="52"/>
      <c r="Q103" s="51">
        <v>1</v>
      </c>
      <c r="R103" s="2">
        <v>0</v>
      </c>
      <c r="S103" s="2">
        <v>0</v>
      </c>
      <c r="T103" s="41">
        <f t="shared" si="2"/>
        <v>-11</v>
      </c>
      <c r="U103" s="2">
        <f t="shared" si="3"/>
        <v>0</v>
      </c>
      <c r="V103" s="2">
        <f t="shared" si="4"/>
        <v>0</v>
      </c>
      <c r="W103" s="41"/>
      <c r="X103" s="52">
        <v>70.69</v>
      </c>
      <c r="Y103" s="51">
        <v>0</v>
      </c>
      <c r="Z103" s="51">
        <v>70.69</v>
      </c>
      <c r="AA103" s="51">
        <v>70.69</v>
      </c>
      <c r="AB103" s="272" t="s">
        <v>1807</v>
      </c>
    </row>
    <row r="104" spans="3:28" s="51" customFormat="1" x14ac:dyDescent="0.25">
      <c r="C104" s="2" t="s">
        <v>1738</v>
      </c>
      <c r="D104" s="2" t="s">
        <v>1687</v>
      </c>
      <c r="E104" s="22" t="s">
        <v>61</v>
      </c>
      <c r="F104" s="22" t="s">
        <v>62</v>
      </c>
      <c r="G104" s="22" t="s">
        <v>63</v>
      </c>
      <c r="H104" s="23">
        <v>42004</v>
      </c>
      <c r="I104" s="58">
        <f t="shared" si="1"/>
        <v>2014</v>
      </c>
      <c r="J104" t="s">
        <v>1825</v>
      </c>
      <c r="K104" s="25"/>
      <c r="L104" s="52" t="s">
        <v>65</v>
      </c>
      <c r="M104" s="51">
        <v>2</v>
      </c>
      <c r="N104" s="51">
        <v>0</v>
      </c>
      <c r="O104" s="51">
        <v>0</v>
      </c>
      <c r="P104" s="52"/>
      <c r="Q104" s="51">
        <v>2</v>
      </c>
      <c r="R104" s="2">
        <v>0</v>
      </c>
      <c r="S104" s="2">
        <v>0</v>
      </c>
      <c r="T104" s="41">
        <f t="shared" si="2"/>
        <v>0</v>
      </c>
      <c r="U104" s="2">
        <f t="shared" si="3"/>
        <v>0</v>
      </c>
      <c r="V104" s="2">
        <f t="shared" si="4"/>
        <v>0</v>
      </c>
      <c r="W104" s="41"/>
      <c r="X104" s="52">
        <v>87.7</v>
      </c>
      <c r="Y104" s="51">
        <v>87.7</v>
      </c>
      <c r="Z104" s="51">
        <v>0</v>
      </c>
      <c r="AA104" s="51">
        <v>0</v>
      </c>
      <c r="AB104" s="272" t="s">
        <v>18</v>
      </c>
    </row>
    <row r="105" spans="3:28" s="51" customFormat="1" x14ac:dyDescent="0.25">
      <c r="C105" s="2" t="s">
        <v>1739</v>
      </c>
      <c r="D105" s="2" t="s">
        <v>1688</v>
      </c>
      <c r="E105" s="22" t="s">
        <v>61</v>
      </c>
      <c r="F105" s="22" t="s">
        <v>62</v>
      </c>
      <c r="G105" s="22" t="s">
        <v>63</v>
      </c>
      <c r="H105" s="23">
        <v>42004</v>
      </c>
      <c r="I105" s="58">
        <f t="shared" si="1"/>
        <v>2014</v>
      </c>
      <c r="J105" t="s">
        <v>1826</v>
      </c>
      <c r="K105" s="25"/>
      <c r="L105" s="52" t="s">
        <v>65</v>
      </c>
      <c r="M105" s="51">
        <v>2</v>
      </c>
      <c r="N105" s="51">
        <v>0</v>
      </c>
      <c r="O105" s="51">
        <v>0</v>
      </c>
      <c r="P105" s="52"/>
      <c r="Q105" s="51">
        <v>2</v>
      </c>
      <c r="R105" s="2">
        <v>0</v>
      </c>
      <c r="S105" s="2">
        <v>0</v>
      </c>
      <c r="T105" s="41">
        <f t="shared" si="2"/>
        <v>0</v>
      </c>
      <c r="U105" s="2">
        <f t="shared" si="3"/>
        <v>0</v>
      </c>
      <c r="V105" s="2">
        <f t="shared" si="4"/>
        <v>0</v>
      </c>
      <c r="W105" s="41"/>
      <c r="X105" s="52">
        <v>46.3</v>
      </c>
      <c r="Y105" s="51">
        <v>46.3</v>
      </c>
      <c r="Z105" s="51">
        <v>0</v>
      </c>
      <c r="AA105" s="51">
        <v>0</v>
      </c>
      <c r="AB105" s="272" t="s">
        <v>1808</v>
      </c>
    </row>
    <row r="106" spans="3:28" s="51" customFormat="1" x14ac:dyDescent="0.25">
      <c r="C106" s="2" t="s">
        <v>1740</v>
      </c>
      <c r="D106" s="2" t="s">
        <v>1689</v>
      </c>
      <c r="E106" s="22" t="s">
        <v>61</v>
      </c>
      <c r="F106" s="22" t="s">
        <v>62</v>
      </c>
      <c r="G106" s="22" t="s">
        <v>63</v>
      </c>
      <c r="H106" s="23">
        <v>42004</v>
      </c>
      <c r="I106" s="58">
        <f t="shared" si="1"/>
        <v>2014</v>
      </c>
      <c r="J106" t="s">
        <v>1829</v>
      </c>
      <c r="K106" s="25"/>
      <c r="L106" s="52" t="s">
        <v>65</v>
      </c>
      <c r="M106" s="51">
        <v>1</v>
      </c>
      <c r="N106" s="51">
        <v>0</v>
      </c>
      <c r="O106" s="51">
        <v>0</v>
      </c>
      <c r="P106" s="52"/>
      <c r="Q106" s="51">
        <v>0</v>
      </c>
      <c r="R106" s="2">
        <v>0</v>
      </c>
      <c r="S106" s="2">
        <v>0</v>
      </c>
      <c r="T106" s="41">
        <f t="shared" si="2"/>
        <v>-1</v>
      </c>
      <c r="U106" s="2">
        <f t="shared" si="3"/>
        <v>0</v>
      </c>
      <c r="V106" s="2">
        <f t="shared" si="4"/>
        <v>0</v>
      </c>
      <c r="W106" s="41"/>
      <c r="X106" s="52">
        <v>38.65</v>
      </c>
      <c r="Y106" s="51">
        <v>38.65</v>
      </c>
      <c r="Z106" s="51">
        <v>0</v>
      </c>
      <c r="AA106" s="51">
        <v>0</v>
      </c>
      <c r="AB106" s="272"/>
    </row>
    <row r="107" spans="3:28" s="51" customFormat="1" x14ac:dyDescent="0.25">
      <c r="C107" s="2" t="s">
        <v>1741</v>
      </c>
      <c r="D107" s="2" t="s">
        <v>1690</v>
      </c>
      <c r="E107" s="22" t="s">
        <v>61</v>
      </c>
      <c r="F107" s="22" t="s">
        <v>62</v>
      </c>
      <c r="G107" s="22" t="s">
        <v>63</v>
      </c>
      <c r="H107" s="23">
        <v>42087</v>
      </c>
      <c r="I107" s="58">
        <f t="shared" si="1"/>
        <v>2015</v>
      </c>
      <c r="J107" t="s">
        <v>1827</v>
      </c>
      <c r="K107" s="25"/>
      <c r="L107" s="52" t="s">
        <v>1757</v>
      </c>
      <c r="M107" s="51">
        <v>0</v>
      </c>
      <c r="N107" s="51">
        <v>0</v>
      </c>
      <c r="O107" s="51">
        <v>0</v>
      </c>
      <c r="P107" s="52"/>
      <c r="Q107" s="51">
        <v>0</v>
      </c>
      <c r="R107" s="2">
        <v>0</v>
      </c>
      <c r="S107" s="2">
        <v>0</v>
      </c>
      <c r="T107" s="41">
        <f t="shared" si="2"/>
        <v>0</v>
      </c>
      <c r="U107" s="2">
        <f t="shared" si="3"/>
        <v>0</v>
      </c>
      <c r="V107" s="2">
        <f t="shared" si="4"/>
        <v>0</v>
      </c>
      <c r="W107" s="41"/>
      <c r="X107" s="52">
        <v>39.799999999999997</v>
      </c>
      <c r="Y107" s="51">
        <v>39.799999999999997</v>
      </c>
      <c r="Z107" s="51">
        <v>0</v>
      </c>
      <c r="AA107" s="51">
        <v>0</v>
      </c>
      <c r="AB107" s="272"/>
    </row>
    <row r="108" spans="3:28" s="51" customFormat="1" x14ac:dyDescent="0.25">
      <c r="C108" s="2" t="s">
        <v>1742</v>
      </c>
      <c r="D108" s="2" t="s">
        <v>1691</v>
      </c>
      <c r="E108" s="22" t="s">
        <v>61</v>
      </c>
      <c r="F108" s="22" t="s">
        <v>62</v>
      </c>
      <c r="G108" s="22" t="s">
        <v>63</v>
      </c>
      <c r="H108" s="23">
        <v>42368</v>
      </c>
      <c r="I108" s="58">
        <f t="shared" si="1"/>
        <v>2015</v>
      </c>
      <c r="J108" t="s">
        <v>1828</v>
      </c>
      <c r="K108" s="25"/>
      <c r="L108" s="52" t="s">
        <v>65</v>
      </c>
      <c r="M108" s="51">
        <v>1</v>
      </c>
      <c r="N108" s="51">
        <v>0</v>
      </c>
      <c r="O108" s="51">
        <v>0</v>
      </c>
      <c r="P108" s="52"/>
      <c r="Q108" s="51">
        <v>0</v>
      </c>
      <c r="R108" s="2">
        <v>0</v>
      </c>
      <c r="S108" s="2">
        <v>0</v>
      </c>
      <c r="T108" s="41">
        <f t="shared" si="2"/>
        <v>-1</v>
      </c>
      <c r="U108" s="2">
        <f t="shared" si="3"/>
        <v>0</v>
      </c>
      <c r="V108" s="2">
        <f t="shared" si="4"/>
        <v>0</v>
      </c>
      <c r="W108" s="41"/>
      <c r="X108" s="52">
        <v>0.5</v>
      </c>
      <c r="Y108" s="51">
        <v>0</v>
      </c>
      <c r="Z108" s="51">
        <v>0</v>
      </c>
      <c r="AA108" s="51">
        <v>0</v>
      </c>
      <c r="AB108" s="272"/>
    </row>
    <row r="109" spans="3:28" s="51" customFormat="1" x14ac:dyDescent="0.25">
      <c r="C109" s="2" t="s">
        <v>1743</v>
      </c>
      <c r="D109" s="2" t="s">
        <v>1692</v>
      </c>
      <c r="E109" s="22" t="s">
        <v>61</v>
      </c>
      <c r="F109" s="22" t="s">
        <v>62</v>
      </c>
      <c r="G109" s="22" t="s">
        <v>63</v>
      </c>
      <c r="H109" s="23">
        <v>42354</v>
      </c>
      <c r="I109" s="58">
        <f t="shared" si="1"/>
        <v>2015</v>
      </c>
      <c r="J109" t="s">
        <v>1822</v>
      </c>
      <c r="K109" s="25"/>
      <c r="L109" s="52" t="s">
        <v>1758</v>
      </c>
      <c r="M109" s="51">
        <v>1</v>
      </c>
      <c r="N109" s="51">
        <v>0</v>
      </c>
      <c r="O109" s="51">
        <v>0</v>
      </c>
      <c r="P109" s="52"/>
      <c r="Q109" s="51">
        <v>1</v>
      </c>
      <c r="R109" s="2">
        <v>0</v>
      </c>
      <c r="S109" s="2">
        <v>0</v>
      </c>
      <c r="T109" s="41">
        <f t="shared" si="2"/>
        <v>0</v>
      </c>
      <c r="U109" s="2">
        <f t="shared" si="3"/>
        <v>0</v>
      </c>
      <c r="V109" s="2">
        <f t="shared" si="4"/>
        <v>0</v>
      </c>
      <c r="W109" s="41"/>
      <c r="X109" s="52">
        <v>7</v>
      </c>
      <c r="Y109" s="51">
        <v>0</v>
      </c>
      <c r="Z109" s="51">
        <v>0</v>
      </c>
      <c r="AA109" s="51">
        <v>0</v>
      </c>
      <c r="AB109" s="272" t="s">
        <v>1809</v>
      </c>
    </row>
    <row r="110" spans="3:28" s="51" customFormat="1" x14ac:dyDescent="0.25">
      <c r="C110" s="2" t="s">
        <v>1744</v>
      </c>
      <c r="D110" s="2" t="s">
        <v>1693</v>
      </c>
      <c r="E110" s="22" t="s">
        <v>61</v>
      </c>
      <c r="F110" s="22" t="s">
        <v>62</v>
      </c>
      <c r="G110" s="22" t="s">
        <v>63</v>
      </c>
      <c r="H110" s="23">
        <v>42136</v>
      </c>
      <c r="I110" s="58">
        <f t="shared" si="1"/>
        <v>2015</v>
      </c>
      <c r="J110" t="s">
        <v>1821</v>
      </c>
      <c r="K110" s="25"/>
      <c r="L110" s="52" t="s">
        <v>65</v>
      </c>
      <c r="M110" s="51">
        <v>18</v>
      </c>
      <c r="N110" s="51">
        <v>0</v>
      </c>
      <c r="O110" s="51">
        <v>0</v>
      </c>
      <c r="P110" s="52"/>
      <c r="Q110" s="51">
        <v>2</v>
      </c>
      <c r="R110" s="2">
        <v>0</v>
      </c>
      <c r="S110" s="2">
        <v>0</v>
      </c>
      <c r="T110" s="41">
        <f t="shared" si="2"/>
        <v>-16</v>
      </c>
      <c r="U110" s="2">
        <f t="shared" si="3"/>
        <v>0</v>
      </c>
      <c r="V110" s="2">
        <f t="shared" si="4"/>
        <v>0</v>
      </c>
      <c r="W110" s="41"/>
      <c r="X110" s="52">
        <v>71</v>
      </c>
      <c r="Y110" s="51">
        <v>0.12</v>
      </c>
      <c r="Z110" s="51">
        <v>71</v>
      </c>
      <c r="AA110" s="51">
        <v>71</v>
      </c>
      <c r="AB110" s="272" t="s">
        <v>1810</v>
      </c>
    </row>
    <row r="111" spans="3:28" s="51" customFormat="1" x14ac:dyDescent="0.25">
      <c r="C111" s="2" t="s">
        <v>1745</v>
      </c>
      <c r="D111" s="2" t="s">
        <v>1694</v>
      </c>
      <c r="E111" s="22" t="s">
        <v>61</v>
      </c>
      <c r="F111" s="22" t="s">
        <v>62</v>
      </c>
      <c r="G111" s="22" t="s">
        <v>63</v>
      </c>
      <c r="H111" s="23">
        <v>42136</v>
      </c>
      <c r="I111" s="58">
        <f t="shared" si="1"/>
        <v>2015</v>
      </c>
      <c r="J111" t="s">
        <v>1819</v>
      </c>
      <c r="K111" s="25"/>
      <c r="L111" s="52" t="s">
        <v>65</v>
      </c>
      <c r="M111" s="51">
        <v>18</v>
      </c>
      <c r="N111" s="51">
        <v>0</v>
      </c>
      <c r="O111" s="51">
        <v>0</v>
      </c>
      <c r="P111" s="52"/>
      <c r="Q111" s="51">
        <v>1</v>
      </c>
      <c r="R111" s="2">
        <v>0</v>
      </c>
      <c r="S111" s="2">
        <v>0</v>
      </c>
      <c r="T111" s="41">
        <f t="shared" si="2"/>
        <v>-17</v>
      </c>
      <c r="U111" s="2">
        <f t="shared" si="3"/>
        <v>0</v>
      </c>
      <c r="V111" s="2">
        <f t="shared" si="4"/>
        <v>0</v>
      </c>
      <c r="W111" s="41"/>
      <c r="X111" s="52">
        <v>71</v>
      </c>
      <c r="Y111" s="51">
        <v>21.05</v>
      </c>
      <c r="Z111" s="51">
        <v>0</v>
      </c>
      <c r="AA111" s="51">
        <v>71</v>
      </c>
      <c r="AB111" s="272" t="s">
        <v>1811</v>
      </c>
    </row>
    <row r="112" spans="3:28" s="51" customFormat="1" x14ac:dyDescent="0.25">
      <c r="C112" s="2" t="s">
        <v>1746</v>
      </c>
      <c r="D112" s="2" t="s">
        <v>1695</v>
      </c>
      <c r="E112" s="22" t="s">
        <v>61</v>
      </c>
      <c r="F112" s="22" t="s">
        <v>62</v>
      </c>
      <c r="G112" s="22" t="s">
        <v>63</v>
      </c>
      <c r="H112" s="23">
        <v>42136</v>
      </c>
      <c r="I112" s="58">
        <f t="shared" si="1"/>
        <v>2015</v>
      </c>
      <c r="J112" t="s">
        <v>1817</v>
      </c>
      <c r="K112" s="25"/>
      <c r="L112" s="52" t="s">
        <v>65</v>
      </c>
      <c r="M112" s="51">
        <v>18</v>
      </c>
      <c r="N112" s="51">
        <v>0</v>
      </c>
      <c r="O112" s="51">
        <v>0</v>
      </c>
      <c r="P112" s="52"/>
      <c r="Q112" s="51">
        <v>1</v>
      </c>
      <c r="R112" s="2">
        <v>0</v>
      </c>
      <c r="S112" s="2">
        <v>0</v>
      </c>
      <c r="T112" s="41">
        <f t="shared" si="2"/>
        <v>-17</v>
      </c>
      <c r="U112" s="2">
        <f t="shared" si="3"/>
        <v>0</v>
      </c>
      <c r="V112" s="2">
        <f t="shared" si="4"/>
        <v>0</v>
      </c>
      <c r="W112" s="41"/>
      <c r="X112" s="52">
        <v>71</v>
      </c>
      <c r="Y112" s="51">
        <v>1.55</v>
      </c>
      <c r="Z112" s="51">
        <v>0</v>
      </c>
      <c r="AA112" s="51">
        <v>71</v>
      </c>
      <c r="AB112" s="272" t="s">
        <v>1811</v>
      </c>
    </row>
    <row r="113" spans="3:28" s="51" customFormat="1" x14ac:dyDescent="0.25">
      <c r="C113" s="2" t="s">
        <v>1747</v>
      </c>
      <c r="D113" s="2" t="s">
        <v>1696</v>
      </c>
      <c r="E113" s="22" t="s">
        <v>61</v>
      </c>
      <c r="F113" s="22" t="s">
        <v>62</v>
      </c>
      <c r="G113" s="22" t="s">
        <v>63</v>
      </c>
      <c r="H113" s="23">
        <v>42136</v>
      </c>
      <c r="I113" s="58">
        <f t="shared" si="1"/>
        <v>2015</v>
      </c>
      <c r="J113" t="s">
        <v>1820</v>
      </c>
      <c r="K113" s="25"/>
      <c r="L113" s="52" t="s">
        <v>65</v>
      </c>
      <c r="M113" s="51">
        <v>18</v>
      </c>
      <c r="N113" s="51">
        <v>0</v>
      </c>
      <c r="O113" s="51">
        <v>0</v>
      </c>
      <c r="P113" s="52"/>
      <c r="Q113" s="51">
        <v>1</v>
      </c>
      <c r="R113" s="2">
        <v>0</v>
      </c>
      <c r="S113" s="2">
        <v>0</v>
      </c>
      <c r="T113" s="41">
        <f t="shared" si="2"/>
        <v>-17</v>
      </c>
      <c r="U113" s="2">
        <f t="shared" si="3"/>
        <v>0</v>
      </c>
      <c r="V113" s="2">
        <f t="shared" si="4"/>
        <v>0</v>
      </c>
      <c r="W113" s="41"/>
      <c r="X113" s="52">
        <v>71</v>
      </c>
      <c r="Y113" s="51">
        <v>22.57</v>
      </c>
      <c r="Z113" s="51">
        <v>0</v>
      </c>
      <c r="AA113" s="51">
        <v>71</v>
      </c>
      <c r="AB113" s="272" t="s">
        <v>1811</v>
      </c>
    </row>
    <row r="114" spans="3:28" s="51" customFormat="1" x14ac:dyDescent="0.25">
      <c r="C114" s="2" t="s">
        <v>1748</v>
      </c>
      <c r="D114" s="2" t="s">
        <v>1697</v>
      </c>
      <c r="E114" s="22" t="s">
        <v>61</v>
      </c>
      <c r="F114" s="22" t="s">
        <v>62</v>
      </c>
      <c r="G114" s="22" t="s">
        <v>63</v>
      </c>
      <c r="H114" s="23">
        <v>42136</v>
      </c>
      <c r="I114" s="58">
        <f t="shared" si="1"/>
        <v>2015</v>
      </c>
      <c r="J114" t="s">
        <v>1818</v>
      </c>
      <c r="K114" s="25"/>
      <c r="L114" s="52" t="s">
        <v>65</v>
      </c>
      <c r="M114" s="51">
        <v>23</v>
      </c>
      <c r="N114" s="51">
        <v>0</v>
      </c>
      <c r="O114" s="51">
        <v>0</v>
      </c>
      <c r="P114" s="52"/>
      <c r="Q114" s="51">
        <v>0</v>
      </c>
      <c r="R114" s="2">
        <v>0</v>
      </c>
      <c r="S114" s="2">
        <v>0</v>
      </c>
      <c r="T114" s="41">
        <f t="shared" si="2"/>
        <v>-23</v>
      </c>
      <c r="U114" s="2">
        <f t="shared" si="3"/>
        <v>0</v>
      </c>
      <c r="V114" s="2">
        <f t="shared" si="4"/>
        <v>0</v>
      </c>
      <c r="W114" s="41"/>
      <c r="X114" s="52">
        <v>94</v>
      </c>
      <c r="Y114" s="51">
        <v>34.36</v>
      </c>
      <c r="Z114" s="51">
        <v>0</v>
      </c>
      <c r="AA114" s="51">
        <v>94</v>
      </c>
      <c r="AB114" s="272"/>
    </row>
    <row r="115" spans="3:28" s="2" customFormat="1" x14ac:dyDescent="0.25">
      <c r="C115" s="2" t="s">
        <v>59</v>
      </c>
      <c r="D115" s="2" t="s">
        <v>60</v>
      </c>
      <c r="E115" s="22" t="s">
        <v>61</v>
      </c>
      <c r="F115" s="22" t="s">
        <v>62</v>
      </c>
      <c r="G115" s="22" t="s">
        <v>63</v>
      </c>
      <c r="H115" s="23">
        <v>42437</v>
      </c>
      <c r="I115" s="58">
        <f t="shared" ref="I115:I151" si="8">YEAR(H115)</f>
        <v>2016</v>
      </c>
      <c r="J115" s="24" t="s">
        <v>64</v>
      </c>
      <c r="K115" s="25">
        <v>41.5</v>
      </c>
      <c r="L115" s="41" t="s">
        <v>65</v>
      </c>
      <c r="M115" s="2" t="s">
        <v>66</v>
      </c>
      <c r="P115" s="41" t="s">
        <v>65</v>
      </c>
      <c r="Q115" s="2">
        <v>0</v>
      </c>
      <c r="R115" s="2">
        <v>0</v>
      </c>
      <c r="S115" s="2">
        <v>0</v>
      </c>
      <c r="T115" s="41">
        <v>0</v>
      </c>
      <c r="U115" s="2">
        <f t="shared" si="3"/>
        <v>0</v>
      </c>
      <c r="V115" s="2">
        <f t="shared" si="4"/>
        <v>0</v>
      </c>
      <c r="W115" s="41"/>
      <c r="X115" s="41">
        <v>41.5</v>
      </c>
      <c r="Y115" s="2">
        <v>41.5</v>
      </c>
      <c r="Z115" s="2">
        <v>41.5</v>
      </c>
      <c r="AA115" s="51">
        <v>0</v>
      </c>
      <c r="AB115" s="41" t="s">
        <v>67</v>
      </c>
    </row>
    <row r="116" spans="3:28" s="2" customFormat="1" x14ac:dyDescent="0.25">
      <c r="C116" s="2" t="s">
        <v>68</v>
      </c>
      <c r="D116" s="2" t="s">
        <v>69</v>
      </c>
      <c r="E116" s="22" t="s">
        <v>61</v>
      </c>
      <c r="F116" s="22" t="s">
        <v>62</v>
      </c>
      <c r="G116" s="22" t="s">
        <v>63</v>
      </c>
      <c r="H116" s="23">
        <v>42437</v>
      </c>
      <c r="I116" s="58">
        <f t="shared" si="8"/>
        <v>2016</v>
      </c>
      <c r="J116" s="24" t="s">
        <v>70</v>
      </c>
      <c r="K116" s="25">
        <v>20</v>
      </c>
      <c r="L116" s="41" t="s">
        <v>65</v>
      </c>
      <c r="M116" s="2" t="s">
        <v>66</v>
      </c>
      <c r="P116" s="41" t="s">
        <v>65</v>
      </c>
      <c r="Q116" s="2">
        <v>0</v>
      </c>
      <c r="R116" s="2">
        <v>0</v>
      </c>
      <c r="S116" s="2">
        <v>0</v>
      </c>
      <c r="T116" s="41">
        <v>0</v>
      </c>
      <c r="U116" s="2">
        <f t="shared" si="3"/>
        <v>0</v>
      </c>
      <c r="V116" s="2">
        <f t="shared" si="4"/>
        <v>0</v>
      </c>
      <c r="W116" s="41"/>
      <c r="X116" s="41">
        <v>20</v>
      </c>
      <c r="Y116" s="2">
        <v>20</v>
      </c>
      <c r="Z116" s="2">
        <v>20</v>
      </c>
      <c r="AA116" s="51">
        <v>0</v>
      </c>
      <c r="AB116" s="41" t="s">
        <v>67</v>
      </c>
    </row>
    <row r="117" spans="3:28" s="2" customFormat="1" x14ac:dyDescent="0.25">
      <c r="C117" s="2" t="s">
        <v>71</v>
      </c>
      <c r="D117" s="2" t="s">
        <v>72</v>
      </c>
      <c r="E117" s="22" t="s">
        <v>61</v>
      </c>
      <c r="F117" s="22" t="s">
        <v>62</v>
      </c>
      <c r="G117" s="22" t="s">
        <v>63</v>
      </c>
      <c r="H117" s="23">
        <v>42522</v>
      </c>
      <c r="I117" s="58">
        <f t="shared" si="8"/>
        <v>2016</v>
      </c>
      <c r="J117" s="24" t="s">
        <v>73</v>
      </c>
      <c r="K117" s="25">
        <v>44</v>
      </c>
      <c r="L117" s="41" t="s">
        <v>74</v>
      </c>
      <c r="M117" s="2">
        <v>1</v>
      </c>
      <c r="N117" s="2">
        <v>0</v>
      </c>
      <c r="O117" s="2">
        <v>0</v>
      </c>
      <c r="P117" s="41" t="s">
        <v>74</v>
      </c>
      <c r="Q117" s="2">
        <v>0</v>
      </c>
      <c r="R117" s="2">
        <v>0</v>
      </c>
      <c r="S117" s="2">
        <v>0</v>
      </c>
      <c r="T117" s="41">
        <f>Q117-M117</f>
        <v>-1</v>
      </c>
      <c r="U117" s="2">
        <f t="shared" ref="U117:V128" si="9">R117-N117</f>
        <v>0</v>
      </c>
      <c r="V117" s="2">
        <f t="shared" si="9"/>
        <v>0</v>
      </c>
      <c r="W117" s="41"/>
      <c r="X117" s="41">
        <v>44</v>
      </c>
      <c r="Y117" s="2">
        <v>44</v>
      </c>
      <c r="Z117" s="51">
        <v>0</v>
      </c>
      <c r="AA117" s="51">
        <v>0</v>
      </c>
      <c r="AB117" s="41"/>
    </row>
    <row r="118" spans="3:28" s="2" customFormat="1" x14ac:dyDescent="0.25">
      <c r="C118" s="24" t="s">
        <v>75</v>
      </c>
      <c r="D118" s="24" t="s">
        <v>76</v>
      </c>
      <c r="E118" s="22" t="s">
        <v>77</v>
      </c>
      <c r="F118" s="22" t="s">
        <v>78</v>
      </c>
      <c r="G118" s="22" t="s">
        <v>79</v>
      </c>
      <c r="H118" s="23">
        <v>42529</v>
      </c>
      <c r="I118" s="58">
        <f t="shared" si="8"/>
        <v>2016</v>
      </c>
      <c r="J118" s="23"/>
      <c r="K118" s="26">
        <f>250*150/43560</f>
        <v>0.8608815426997245</v>
      </c>
      <c r="L118" s="41" t="s">
        <v>80</v>
      </c>
      <c r="M118" s="2">
        <f>ROUNDDOWN(K118*17.424,0)</f>
        <v>15</v>
      </c>
      <c r="N118" s="2">
        <v>0</v>
      </c>
      <c r="O118" s="2">
        <v>0</v>
      </c>
      <c r="P118" s="41" t="s">
        <v>81</v>
      </c>
      <c r="Q118" s="2">
        <f>ROUNDDOWN(K118*43560*0.65/1200,0)</f>
        <v>20</v>
      </c>
      <c r="R118" s="2">
        <v>0</v>
      </c>
      <c r="S118" s="2">
        <v>0</v>
      </c>
      <c r="T118" s="41">
        <f>Q118-M118</f>
        <v>5</v>
      </c>
      <c r="U118" s="2">
        <f t="shared" si="9"/>
        <v>0</v>
      </c>
      <c r="V118" s="2">
        <f t="shared" si="9"/>
        <v>0</v>
      </c>
      <c r="W118" s="41"/>
      <c r="X118" s="41"/>
      <c r="AB118" s="41"/>
    </row>
    <row r="119" spans="3:28" s="2" customFormat="1" x14ac:dyDescent="0.25">
      <c r="C119" s="24" t="s">
        <v>82</v>
      </c>
      <c r="D119" s="24" t="s">
        <v>83</v>
      </c>
      <c r="E119" s="22" t="s">
        <v>77</v>
      </c>
      <c r="F119" s="22" t="s">
        <v>62</v>
      </c>
      <c r="G119" s="22" t="s">
        <v>79</v>
      </c>
      <c r="H119" s="23">
        <v>42534</v>
      </c>
      <c r="I119" s="58">
        <f t="shared" si="8"/>
        <v>2016</v>
      </c>
      <c r="J119" s="23"/>
      <c r="K119" s="26">
        <v>20</v>
      </c>
      <c r="L119" s="41" t="s">
        <v>65</v>
      </c>
      <c r="M119" s="2">
        <v>1</v>
      </c>
      <c r="N119" s="2">
        <v>0</v>
      </c>
      <c r="O119" s="2">
        <v>0</v>
      </c>
      <c r="P119" s="41" t="s">
        <v>84</v>
      </c>
      <c r="Q119" s="2">
        <v>0</v>
      </c>
      <c r="R119" s="2">
        <v>0</v>
      </c>
      <c r="S119" s="2">
        <v>0</v>
      </c>
      <c r="T119" s="41">
        <f>Q119-M119</f>
        <v>-1</v>
      </c>
      <c r="U119" s="2">
        <f t="shared" si="9"/>
        <v>0</v>
      </c>
      <c r="V119" s="2">
        <f t="shared" si="9"/>
        <v>0</v>
      </c>
      <c r="W119" s="41"/>
      <c r="X119" s="41"/>
      <c r="AB119" s="41"/>
    </row>
    <row r="120" spans="3:28" s="2" customFormat="1" x14ac:dyDescent="0.25">
      <c r="C120" s="24" t="s">
        <v>85</v>
      </c>
      <c r="D120" s="24" t="s">
        <v>86</v>
      </c>
      <c r="E120" s="22" t="s">
        <v>77</v>
      </c>
      <c r="F120" s="22" t="s">
        <v>78</v>
      </c>
      <c r="G120" s="22" t="s">
        <v>79</v>
      </c>
      <c r="H120" s="23">
        <v>42557</v>
      </c>
      <c r="I120" s="58">
        <f t="shared" si="8"/>
        <v>2016</v>
      </c>
      <c r="J120" s="23"/>
      <c r="K120" s="26">
        <f>43395.77/43560</f>
        <v>0.99622979797979794</v>
      </c>
      <c r="L120" s="41" t="s">
        <v>87</v>
      </c>
      <c r="M120" s="2">
        <f>ROUNDDOWN(K120*43560*0.325*0.25/1200,0)</f>
        <v>2</v>
      </c>
      <c r="N120" s="2">
        <v>0</v>
      </c>
      <c r="O120" s="27">
        <f>K120*43560*0.325*0.75</f>
        <v>10577.7189375</v>
      </c>
      <c r="P120" s="41" t="s">
        <v>88</v>
      </c>
      <c r="Q120" s="2">
        <v>20</v>
      </c>
      <c r="R120" s="2">
        <v>0</v>
      </c>
      <c r="S120" s="2">
        <v>0</v>
      </c>
      <c r="T120" s="41">
        <f>Q120-M120</f>
        <v>18</v>
      </c>
      <c r="U120" s="2">
        <f t="shared" si="9"/>
        <v>0</v>
      </c>
      <c r="V120" s="27">
        <f t="shared" si="9"/>
        <v>-10577.7189375</v>
      </c>
      <c r="W120" s="43"/>
      <c r="X120" s="43"/>
      <c r="AB120" s="41"/>
    </row>
    <row r="121" spans="3:28" s="2" customFormat="1" x14ac:dyDescent="0.25">
      <c r="C121" s="2" t="s">
        <v>89</v>
      </c>
      <c r="D121" s="2" t="s">
        <v>90</v>
      </c>
      <c r="E121" s="22" t="s">
        <v>91</v>
      </c>
      <c r="F121" s="22" t="s">
        <v>62</v>
      </c>
      <c r="G121" s="22" t="s">
        <v>63</v>
      </c>
      <c r="H121" s="23">
        <v>42562</v>
      </c>
      <c r="I121" s="58">
        <f t="shared" si="8"/>
        <v>2016</v>
      </c>
      <c r="J121" s="24" t="s">
        <v>92</v>
      </c>
      <c r="K121" s="25">
        <v>35.54</v>
      </c>
      <c r="L121" s="41" t="s">
        <v>74</v>
      </c>
      <c r="M121" s="2">
        <v>1</v>
      </c>
      <c r="N121" s="2">
        <v>0</v>
      </c>
      <c r="O121" s="2">
        <v>0</v>
      </c>
      <c r="P121" s="41" t="s">
        <v>93</v>
      </c>
      <c r="Q121" s="2">
        <v>0</v>
      </c>
      <c r="R121" s="2">
        <v>0</v>
      </c>
      <c r="S121" s="2">
        <v>0</v>
      </c>
      <c r="T121" s="41">
        <f>Q121-M121</f>
        <v>-1</v>
      </c>
      <c r="U121" s="2">
        <f t="shared" si="9"/>
        <v>0</v>
      </c>
      <c r="V121" s="2">
        <f t="shared" si="9"/>
        <v>0</v>
      </c>
      <c r="W121" s="41"/>
      <c r="X121" s="41"/>
      <c r="AB121" s="41"/>
    </row>
    <row r="122" spans="3:28" s="2" customFormat="1" x14ac:dyDescent="0.25">
      <c r="C122" s="24" t="s">
        <v>94</v>
      </c>
      <c r="D122" s="24" t="s">
        <v>95</v>
      </c>
      <c r="E122" s="22" t="s">
        <v>77</v>
      </c>
      <c r="F122" s="22" t="s">
        <v>78</v>
      </c>
      <c r="G122" s="22" t="s">
        <v>79</v>
      </c>
      <c r="H122" s="23">
        <v>42585</v>
      </c>
      <c r="I122" s="58">
        <f t="shared" si="8"/>
        <v>2016</v>
      </c>
      <c r="J122" s="23"/>
      <c r="K122" s="26"/>
      <c r="L122" s="41" t="s">
        <v>81</v>
      </c>
      <c r="M122" s="2" t="s">
        <v>66</v>
      </c>
      <c r="P122" s="41" t="s">
        <v>88</v>
      </c>
      <c r="Q122" s="2" t="s">
        <v>66</v>
      </c>
      <c r="T122" s="41">
        <v>0</v>
      </c>
      <c r="U122" s="2">
        <f t="shared" si="9"/>
        <v>0</v>
      </c>
      <c r="V122" s="2">
        <f t="shared" si="9"/>
        <v>0</v>
      </c>
      <c r="W122" s="41"/>
      <c r="X122" s="41"/>
      <c r="AB122" s="41" t="s">
        <v>96</v>
      </c>
    </row>
    <row r="123" spans="3:28" s="2" customFormat="1" x14ac:dyDescent="0.25">
      <c r="C123" s="24" t="s">
        <v>97</v>
      </c>
      <c r="D123" s="24" t="s">
        <v>98</v>
      </c>
      <c r="E123" s="22" t="s">
        <v>77</v>
      </c>
      <c r="F123" s="22" t="s">
        <v>78</v>
      </c>
      <c r="G123" s="22" t="s">
        <v>79</v>
      </c>
      <c r="H123" s="23">
        <v>42585</v>
      </c>
      <c r="I123" s="58">
        <f t="shared" si="8"/>
        <v>2016</v>
      </c>
      <c r="J123" s="23"/>
      <c r="K123" s="26">
        <v>1.2895133000000001</v>
      </c>
      <c r="L123" s="41" t="s">
        <v>99</v>
      </c>
      <c r="M123" s="2">
        <f>ROUNDDOWN(K123*17.424,0)</f>
        <v>22</v>
      </c>
      <c r="N123" s="2">
        <v>0</v>
      </c>
      <c r="O123" s="2">
        <v>0</v>
      </c>
      <c r="P123" s="41" t="s">
        <v>100</v>
      </c>
      <c r="Q123" s="2">
        <v>28</v>
      </c>
      <c r="R123" s="2">
        <v>0</v>
      </c>
      <c r="S123" s="2">
        <v>0</v>
      </c>
      <c r="T123" s="41">
        <f t="shared" ref="T123:T128" si="10">Q123-M123</f>
        <v>6</v>
      </c>
      <c r="U123" s="2">
        <f t="shared" si="9"/>
        <v>0</v>
      </c>
      <c r="V123" s="2">
        <f t="shared" si="9"/>
        <v>0</v>
      </c>
      <c r="W123" s="41"/>
      <c r="X123" s="41"/>
      <c r="AB123" s="41"/>
    </row>
    <row r="124" spans="3:28" s="2" customFormat="1" x14ac:dyDescent="0.25">
      <c r="C124" s="24" t="s">
        <v>101</v>
      </c>
      <c r="D124" s="24" t="s">
        <v>102</v>
      </c>
      <c r="E124" s="22" t="s">
        <v>77</v>
      </c>
      <c r="F124" s="22" t="s">
        <v>62</v>
      </c>
      <c r="G124" s="22" t="s">
        <v>63</v>
      </c>
      <c r="H124" s="23">
        <v>42613</v>
      </c>
      <c r="I124" s="58">
        <f t="shared" si="8"/>
        <v>2016</v>
      </c>
      <c r="J124" s="23"/>
      <c r="K124" s="26"/>
      <c r="L124" s="41" t="s">
        <v>103</v>
      </c>
      <c r="P124" s="41" t="s">
        <v>103</v>
      </c>
      <c r="T124" s="41">
        <f t="shared" si="10"/>
        <v>0</v>
      </c>
      <c r="U124" s="2">
        <f t="shared" si="9"/>
        <v>0</v>
      </c>
      <c r="V124" s="2">
        <f t="shared" si="9"/>
        <v>0</v>
      </c>
      <c r="W124" s="41"/>
      <c r="X124" s="41"/>
      <c r="AB124" s="41"/>
    </row>
    <row r="125" spans="3:28" s="2" customFormat="1" x14ac:dyDescent="0.25">
      <c r="C125" s="2" t="s">
        <v>104</v>
      </c>
      <c r="D125" s="2" t="s">
        <v>105</v>
      </c>
      <c r="E125" s="22" t="s">
        <v>91</v>
      </c>
      <c r="F125" s="22" t="s">
        <v>62</v>
      </c>
      <c r="G125" s="22" t="s">
        <v>63</v>
      </c>
      <c r="H125" s="23">
        <v>42628</v>
      </c>
      <c r="I125" s="58">
        <f t="shared" si="8"/>
        <v>2016</v>
      </c>
      <c r="J125" s="24" t="s">
        <v>106</v>
      </c>
      <c r="K125" s="25">
        <v>43.55</v>
      </c>
      <c r="L125" s="41" t="s">
        <v>107</v>
      </c>
      <c r="M125" s="2">
        <v>1</v>
      </c>
      <c r="N125" s="2">
        <v>0</v>
      </c>
      <c r="O125" s="2">
        <v>0</v>
      </c>
      <c r="P125" s="41" t="s">
        <v>93</v>
      </c>
      <c r="Q125" s="2">
        <v>0</v>
      </c>
      <c r="R125" s="2">
        <v>0</v>
      </c>
      <c r="S125" s="2">
        <v>0</v>
      </c>
      <c r="T125" s="41">
        <f t="shared" si="10"/>
        <v>-1</v>
      </c>
      <c r="U125" s="2">
        <f t="shared" si="9"/>
        <v>0</v>
      </c>
      <c r="V125" s="2">
        <f t="shared" si="9"/>
        <v>0</v>
      </c>
      <c r="W125" s="41"/>
      <c r="X125" s="41"/>
      <c r="AB125" s="41"/>
    </row>
    <row r="126" spans="3:28" s="2" customFormat="1" x14ac:dyDescent="0.25">
      <c r="C126" s="24" t="s">
        <v>108</v>
      </c>
      <c r="D126" s="24" t="s">
        <v>109</v>
      </c>
      <c r="E126" s="22" t="s">
        <v>77</v>
      </c>
      <c r="F126" s="22" t="s">
        <v>78</v>
      </c>
      <c r="G126" s="22" t="s">
        <v>79</v>
      </c>
      <c r="H126" s="23">
        <v>42634</v>
      </c>
      <c r="I126" s="58">
        <f t="shared" si="8"/>
        <v>2016</v>
      </c>
      <c r="J126" s="23"/>
      <c r="K126" s="26">
        <v>0.45</v>
      </c>
      <c r="L126" s="41" t="s">
        <v>110</v>
      </c>
      <c r="M126" s="2">
        <v>0</v>
      </c>
      <c r="N126" s="2">
        <v>0</v>
      </c>
      <c r="O126" s="27">
        <f>K126*43560*0.35</f>
        <v>6860.7</v>
      </c>
      <c r="P126" s="41" t="s">
        <v>87</v>
      </c>
      <c r="Q126" s="2">
        <f>ROUNDDOWN(K126*43560*0.325*0.25/1200,0)</f>
        <v>1</v>
      </c>
      <c r="R126" s="2">
        <v>0</v>
      </c>
      <c r="S126" s="27">
        <f>K126*43560*0.325*0.75</f>
        <v>4777.9875000000002</v>
      </c>
      <c r="T126" s="41">
        <f t="shared" si="10"/>
        <v>1</v>
      </c>
      <c r="U126" s="2">
        <f t="shared" si="9"/>
        <v>0</v>
      </c>
      <c r="V126" s="27">
        <f t="shared" si="9"/>
        <v>-2082.7124999999996</v>
      </c>
      <c r="W126" s="43"/>
      <c r="X126" s="43"/>
      <c r="AB126" s="41"/>
    </row>
    <row r="127" spans="3:28" s="2" customFormat="1" x14ac:dyDescent="0.25">
      <c r="C127" s="24" t="s">
        <v>108</v>
      </c>
      <c r="D127" s="24" t="s">
        <v>109</v>
      </c>
      <c r="E127" s="22" t="s">
        <v>77</v>
      </c>
      <c r="F127" s="22" t="s">
        <v>78</v>
      </c>
      <c r="G127" s="22" t="s">
        <v>79</v>
      </c>
      <c r="H127" s="23">
        <v>42634</v>
      </c>
      <c r="I127" s="58">
        <f t="shared" si="8"/>
        <v>2016</v>
      </c>
      <c r="J127" s="23"/>
      <c r="K127" s="26">
        <v>1.4</v>
      </c>
      <c r="L127" s="41" t="s">
        <v>110</v>
      </c>
      <c r="M127" s="2">
        <v>0</v>
      </c>
      <c r="N127" s="2">
        <v>0</v>
      </c>
      <c r="O127" s="27">
        <f>K127*43560*0.35</f>
        <v>21344.399999999998</v>
      </c>
      <c r="P127" s="41" t="s">
        <v>87</v>
      </c>
      <c r="Q127" s="2">
        <f>ROUNDDOWN(K127*43560*0.325*0.25/1200,0)</f>
        <v>4</v>
      </c>
      <c r="R127" s="2">
        <v>0</v>
      </c>
      <c r="S127" s="27">
        <f>K127*43560*0.325*0.75</f>
        <v>14864.849999999999</v>
      </c>
      <c r="T127" s="41">
        <f t="shared" si="10"/>
        <v>4</v>
      </c>
      <c r="U127" s="2">
        <f t="shared" si="9"/>
        <v>0</v>
      </c>
      <c r="V127" s="27">
        <f t="shared" si="9"/>
        <v>-6479.5499999999993</v>
      </c>
      <c r="W127" s="43"/>
      <c r="X127" s="43"/>
      <c r="AB127" s="41"/>
    </row>
    <row r="128" spans="3:28" s="2" customFormat="1" x14ac:dyDescent="0.25">
      <c r="C128" s="2" t="s">
        <v>111</v>
      </c>
      <c r="D128" s="2" t="s">
        <v>112</v>
      </c>
      <c r="E128" s="22" t="s">
        <v>91</v>
      </c>
      <c r="F128" s="22" t="s">
        <v>62</v>
      </c>
      <c r="G128" s="22" t="s">
        <v>63</v>
      </c>
      <c r="H128" s="23">
        <v>42664</v>
      </c>
      <c r="I128" s="58">
        <f t="shared" si="8"/>
        <v>2016</v>
      </c>
      <c r="J128" s="24" t="s">
        <v>113</v>
      </c>
      <c r="K128" s="25">
        <v>27.98</v>
      </c>
      <c r="L128" s="41" t="s">
        <v>74</v>
      </c>
      <c r="M128" s="2">
        <v>0</v>
      </c>
      <c r="N128" s="2">
        <v>0</v>
      </c>
      <c r="O128" s="2">
        <v>0</v>
      </c>
      <c r="P128" s="41" t="s">
        <v>93</v>
      </c>
      <c r="Q128" s="2">
        <v>0</v>
      </c>
      <c r="R128" s="2">
        <v>0</v>
      </c>
      <c r="S128" s="2">
        <v>0</v>
      </c>
      <c r="T128" s="41">
        <f t="shared" si="10"/>
        <v>0</v>
      </c>
      <c r="U128" s="2">
        <f t="shared" si="9"/>
        <v>0</v>
      </c>
      <c r="V128" s="2">
        <f t="shared" si="9"/>
        <v>0</v>
      </c>
      <c r="W128" s="41"/>
      <c r="X128" s="41"/>
      <c r="AB128" s="41" t="s">
        <v>114</v>
      </c>
    </row>
    <row r="129" spans="3:35" s="2" customFormat="1" x14ac:dyDescent="0.25">
      <c r="C129" s="24" t="s">
        <v>115</v>
      </c>
      <c r="D129" s="24" t="s">
        <v>116</v>
      </c>
      <c r="E129" s="22" t="s">
        <v>77</v>
      </c>
      <c r="F129" s="22" t="s">
        <v>78</v>
      </c>
      <c r="G129" s="22" t="s">
        <v>79</v>
      </c>
      <c r="H129" s="23">
        <v>42697</v>
      </c>
      <c r="I129" s="58">
        <f t="shared" si="8"/>
        <v>2016</v>
      </c>
      <c r="J129" s="23"/>
      <c r="K129" s="25"/>
      <c r="L129" s="41" t="s">
        <v>103</v>
      </c>
      <c r="M129" s="2" t="s">
        <v>66</v>
      </c>
      <c r="P129" s="41" t="s">
        <v>103</v>
      </c>
      <c r="Q129" s="2" t="s">
        <v>66</v>
      </c>
      <c r="T129" s="41">
        <f>ROUNDDOWN(55271*0.25/1200,0)-51+ROUNDDOWN(59436*0.25/1200,0)-75+ROUNDDOWN(150139*0.25/1200,0)</f>
        <v>-72</v>
      </c>
      <c r="U129" s="27">
        <f>150139*0.25/650+150139*0.25/1200</f>
        <v>89.024727564102562</v>
      </c>
      <c r="V129" s="27">
        <f>55271*0.75+59436*0.75+150139*0.25</f>
        <v>123565</v>
      </c>
      <c r="W129" s="43"/>
      <c r="X129" s="43"/>
      <c r="AB129" s="41" t="s">
        <v>117</v>
      </c>
    </row>
    <row r="130" spans="3:35" s="2" customFormat="1" x14ac:dyDescent="0.25">
      <c r="C130" s="2" t="s">
        <v>118</v>
      </c>
      <c r="D130" s="2" t="s">
        <v>119</v>
      </c>
      <c r="E130" s="22" t="s">
        <v>91</v>
      </c>
      <c r="F130" s="22" t="s">
        <v>62</v>
      </c>
      <c r="G130" s="22" t="s">
        <v>63</v>
      </c>
      <c r="H130" s="23">
        <v>42716</v>
      </c>
      <c r="I130" s="58">
        <f t="shared" si="8"/>
        <v>2016</v>
      </c>
      <c r="J130" s="24" t="s">
        <v>120</v>
      </c>
      <c r="K130" s="26">
        <v>658.92</v>
      </c>
      <c r="L130" s="41" t="s">
        <v>74</v>
      </c>
      <c r="M130" s="27">
        <f>ROUNDDOWN(K130*3/35,0)*0.6</f>
        <v>33.6</v>
      </c>
      <c r="N130" s="2">
        <v>0</v>
      </c>
      <c r="O130" s="28">
        <f>K130*0.007*0.05*43560</f>
        <v>10045.894319999999</v>
      </c>
      <c r="P130" s="41" t="s">
        <v>93</v>
      </c>
      <c r="Q130" s="2">
        <v>0</v>
      </c>
      <c r="R130" s="2">
        <v>0</v>
      </c>
      <c r="S130" s="2">
        <v>0</v>
      </c>
      <c r="T130" s="43">
        <f>Q130-M130</f>
        <v>-33.6</v>
      </c>
      <c r="U130" s="2">
        <f>R130-N130</f>
        <v>0</v>
      </c>
      <c r="V130" s="27">
        <f>S130-O130</f>
        <v>-10045.894319999999</v>
      </c>
      <c r="W130" s="43"/>
      <c r="X130" s="43"/>
      <c r="AB130" s="41"/>
    </row>
    <row r="131" spans="3:35" s="2" customFormat="1" x14ac:dyDescent="0.25">
      <c r="C131" s="2" t="s">
        <v>121</v>
      </c>
      <c r="D131" s="2" t="s">
        <v>122</v>
      </c>
      <c r="E131" s="22" t="s">
        <v>77</v>
      </c>
      <c r="F131" s="22" t="s">
        <v>62</v>
      </c>
      <c r="G131" s="22" t="s">
        <v>63</v>
      </c>
      <c r="H131" s="29">
        <v>42748</v>
      </c>
      <c r="I131" s="58">
        <f t="shared" si="8"/>
        <v>2017</v>
      </c>
      <c r="J131" s="24" t="s">
        <v>123</v>
      </c>
      <c r="K131" s="26">
        <v>26.81</v>
      </c>
      <c r="L131" s="41" t="s">
        <v>65</v>
      </c>
      <c r="M131" s="2" t="s">
        <v>124</v>
      </c>
      <c r="P131" s="41" t="s">
        <v>125</v>
      </c>
      <c r="Q131" s="2" t="s">
        <v>126</v>
      </c>
      <c r="T131" s="41">
        <v>0</v>
      </c>
      <c r="U131" s="2">
        <v>0</v>
      </c>
      <c r="V131" s="2">
        <v>0</v>
      </c>
      <c r="W131" s="41"/>
      <c r="X131" s="41"/>
      <c r="AB131" s="41"/>
      <c r="AI131" s="2">
        <f>82-67</f>
        <v>15</v>
      </c>
    </row>
    <row r="132" spans="3:35" s="2" customFormat="1" x14ac:dyDescent="0.25">
      <c r="C132" s="2" t="s">
        <v>127</v>
      </c>
      <c r="D132" s="2" t="s">
        <v>102</v>
      </c>
      <c r="E132" s="22" t="s">
        <v>77</v>
      </c>
      <c r="F132" s="22" t="s">
        <v>62</v>
      </c>
      <c r="G132" s="22" t="s">
        <v>63</v>
      </c>
      <c r="H132" s="29">
        <v>42752</v>
      </c>
      <c r="I132" s="58">
        <f t="shared" si="8"/>
        <v>2017</v>
      </c>
      <c r="J132" s="24" t="s">
        <v>128</v>
      </c>
      <c r="K132" s="26"/>
      <c r="L132" s="41" t="s">
        <v>129</v>
      </c>
      <c r="M132" s="2" t="s">
        <v>130</v>
      </c>
      <c r="P132" s="41" t="s">
        <v>131</v>
      </c>
      <c r="Q132" s="2">
        <v>1</v>
      </c>
      <c r="R132" s="2">
        <v>0</v>
      </c>
      <c r="S132" s="2">
        <v>0</v>
      </c>
      <c r="T132" s="41">
        <v>1</v>
      </c>
      <c r="U132" s="2">
        <v>0</v>
      </c>
      <c r="V132" s="2">
        <v>0</v>
      </c>
      <c r="W132" s="41"/>
      <c r="X132" s="41"/>
      <c r="AB132" s="41" t="s">
        <v>132</v>
      </c>
    </row>
    <row r="133" spans="3:35" s="2" customFormat="1" x14ac:dyDescent="0.25">
      <c r="C133" s="2" t="s">
        <v>133</v>
      </c>
      <c r="D133" s="2" t="s">
        <v>134</v>
      </c>
      <c r="E133" s="22" t="s">
        <v>77</v>
      </c>
      <c r="F133" s="22" t="s">
        <v>78</v>
      </c>
      <c r="G133" s="22" t="s">
        <v>79</v>
      </c>
      <c r="H133" s="29">
        <v>42774</v>
      </c>
      <c r="I133" s="58">
        <f t="shared" si="8"/>
        <v>2017</v>
      </c>
      <c r="J133" s="2" t="s">
        <v>135</v>
      </c>
      <c r="K133" s="26">
        <v>10</v>
      </c>
      <c r="L133" s="41" t="s">
        <v>81</v>
      </c>
      <c r="M133" s="2">
        <f>43560*10*0.65/1200-0.95</f>
        <v>235</v>
      </c>
      <c r="N133" s="2">
        <v>0</v>
      </c>
      <c r="O133" s="2">
        <v>0</v>
      </c>
      <c r="P133" s="41" t="s">
        <v>88</v>
      </c>
      <c r="Q133" s="2">
        <v>168</v>
      </c>
      <c r="R133" s="2">
        <v>0</v>
      </c>
      <c r="S133" s="2">
        <v>0</v>
      </c>
      <c r="T133" s="41">
        <f>168-235</f>
        <v>-67</v>
      </c>
      <c r="W133" s="41"/>
      <c r="X133" s="41"/>
      <c r="AB133" s="41"/>
    </row>
    <row r="134" spans="3:35" s="2" customFormat="1" x14ac:dyDescent="0.25">
      <c r="C134" s="2" t="s">
        <v>136</v>
      </c>
      <c r="D134" s="2" t="s">
        <v>137</v>
      </c>
      <c r="E134" s="22" t="s">
        <v>61</v>
      </c>
      <c r="F134" s="22" t="s">
        <v>138</v>
      </c>
      <c r="G134" s="22" t="s">
        <v>63</v>
      </c>
      <c r="H134" s="29">
        <v>42842</v>
      </c>
      <c r="I134" s="58">
        <f t="shared" si="8"/>
        <v>2017</v>
      </c>
      <c r="J134" s="30" t="s">
        <v>139</v>
      </c>
      <c r="K134" s="26">
        <v>35</v>
      </c>
      <c r="L134" s="41" t="s">
        <v>140</v>
      </c>
      <c r="M134" s="2">
        <v>2</v>
      </c>
      <c r="P134" s="41" t="s">
        <v>93</v>
      </c>
      <c r="Q134" s="2">
        <v>2</v>
      </c>
      <c r="R134" s="2">
        <v>0</v>
      </c>
      <c r="S134" s="2">
        <v>0</v>
      </c>
      <c r="T134" s="41">
        <v>0</v>
      </c>
      <c r="U134" s="2">
        <v>0</v>
      </c>
      <c r="V134" s="2">
        <v>0</v>
      </c>
      <c r="W134" s="41"/>
      <c r="X134" s="41">
        <v>35</v>
      </c>
      <c r="Y134" s="2">
        <v>35</v>
      </c>
      <c r="Z134" s="2">
        <v>0</v>
      </c>
      <c r="AA134" s="2">
        <v>0</v>
      </c>
      <c r="AB134" s="41" t="s">
        <v>141</v>
      </c>
      <c r="AD134" s="2" t="b">
        <v>1</v>
      </c>
      <c r="AE134" s="2" t="b">
        <v>1</v>
      </c>
    </row>
    <row r="135" spans="3:35" s="2" customFormat="1" x14ac:dyDescent="0.25">
      <c r="C135" s="2" t="s">
        <v>208</v>
      </c>
      <c r="D135" s="2" t="s">
        <v>142</v>
      </c>
      <c r="E135" s="22" t="s">
        <v>61</v>
      </c>
      <c r="F135" s="22" t="s">
        <v>138</v>
      </c>
      <c r="G135" s="22" t="s">
        <v>63</v>
      </c>
      <c r="H135" s="29">
        <v>42909</v>
      </c>
      <c r="I135" s="58">
        <f t="shared" si="8"/>
        <v>2017</v>
      </c>
      <c r="J135" s="2" t="s">
        <v>143</v>
      </c>
      <c r="K135" s="26">
        <v>35</v>
      </c>
      <c r="L135" s="41" t="s">
        <v>140</v>
      </c>
      <c r="M135" s="2">
        <v>2</v>
      </c>
      <c r="N135" s="2">
        <v>0</v>
      </c>
      <c r="O135" s="2">
        <v>0</v>
      </c>
      <c r="P135" s="41" t="s">
        <v>140</v>
      </c>
      <c r="Q135" s="2">
        <v>0</v>
      </c>
      <c r="R135" s="2">
        <v>0</v>
      </c>
      <c r="S135" s="2">
        <v>0</v>
      </c>
      <c r="T135" s="41">
        <v>-2</v>
      </c>
      <c r="U135" s="2">
        <v>0</v>
      </c>
      <c r="V135" s="2">
        <v>0</v>
      </c>
      <c r="W135" s="41"/>
      <c r="X135" s="41">
        <v>35</v>
      </c>
      <c r="Y135" s="2">
        <v>35</v>
      </c>
      <c r="Z135" s="2">
        <v>35</v>
      </c>
      <c r="AA135" s="2">
        <v>0</v>
      </c>
      <c r="AB135" s="41"/>
    </row>
    <row r="136" spans="3:35" s="2" customFormat="1" x14ac:dyDescent="0.25">
      <c r="C136" s="2" t="s">
        <v>209</v>
      </c>
      <c r="D136" s="2" t="s">
        <v>144</v>
      </c>
      <c r="E136" s="22" t="s">
        <v>61</v>
      </c>
      <c r="F136" s="22" t="s">
        <v>138</v>
      </c>
      <c r="G136" s="22" t="s">
        <v>63</v>
      </c>
      <c r="H136" s="29">
        <v>42950</v>
      </c>
      <c r="I136" s="58">
        <f t="shared" si="8"/>
        <v>2017</v>
      </c>
      <c r="J136" s="30" t="s">
        <v>145</v>
      </c>
      <c r="K136" s="26">
        <v>1.9</v>
      </c>
      <c r="L136" s="41" t="s">
        <v>146</v>
      </c>
      <c r="M136" s="2" t="s">
        <v>147</v>
      </c>
      <c r="P136" s="41" t="s">
        <v>93</v>
      </c>
      <c r="Q136" s="2" t="s">
        <v>147</v>
      </c>
      <c r="T136" s="41">
        <v>0</v>
      </c>
      <c r="U136" s="2">
        <v>0</v>
      </c>
      <c r="V136" s="2">
        <v>0</v>
      </c>
      <c r="W136" s="41"/>
      <c r="X136" s="41">
        <v>1.9</v>
      </c>
      <c r="Y136" s="2">
        <v>1.9</v>
      </c>
      <c r="Z136" s="2">
        <v>0</v>
      </c>
      <c r="AA136" s="2">
        <v>0</v>
      </c>
      <c r="AB136" s="41" t="s">
        <v>148</v>
      </c>
      <c r="AD136" s="2" t="b">
        <v>1</v>
      </c>
      <c r="AE136" s="2" t="b">
        <v>1</v>
      </c>
    </row>
    <row r="137" spans="3:35" s="2" customFormat="1" x14ac:dyDescent="0.25">
      <c r="C137" s="2" t="s">
        <v>210</v>
      </c>
      <c r="D137" s="2" t="s">
        <v>149</v>
      </c>
      <c r="E137" s="22" t="s">
        <v>61</v>
      </c>
      <c r="F137" s="22" t="s">
        <v>138</v>
      </c>
      <c r="G137" s="22" t="s">
        <v>63</v>
      </c>
      <c r="H137" s="29">
        <v>42950</v>
      </c>
      <c r="I137" s="58">
        <f t="shared" si="8"/>
        <v>2017</v>
      </c>
      <c r="J137" s="31" t="s">
        <v>150</v>
      </c>
      <c r="K137" s="26">
        <v>2.5</v>
      </c>
      <c r="L137" s="41" t="s">
        <v>146</v>
      </c>
      <c r="M137" s="2" t="s">
        <v>147</v>
      </c>
      <c r="P137" s="41" t="s">
        <v>93</v>
      </c>
      <c r="Q137" s="2" t="s">
        <v>147</v>
      </c>
      <c r="T137" s="41">
        <v>0</v>
      </c>
      <c r="U137" s="2">
        <v>0</v>
      </c>
      <c r="V137" s="2">
        <v>0</v>
      </c>
      <c r="W137" s="41"/>
      <c r="X137" s="41">
        <v>2.5</v>
      </c>
      <c r="Y137" s="2">
        <v>2.5</v>
      </c>
      <c r="Z137" s="2">
        <v>0</v>
      </c>
      <c r="AA137" s="2">
        <v>0</v>
      </c>
      <c r="AB137" s="41" t="s">
        <v>148</v>
      </c>
      <c r="AD137" s="2" t="b">
        <v>1</v>
      </c>
      <c r="AE137" s="2" t="b">
        <v>1</v>
      </c>
    </row>
    <row r="138" spans="3:35" s="2" customFormat="1" x14ac:dyDescent="0.25">
      <c r="C138" s="2" t="s">
        <v>151</v>
      </c>
      <c r="D138" s="2" t="s">
        <v>152</v>
      </c>
      <c r="E138" s="22" t="s">
        <v>77</v>
      </c>
      <c r="F138" s="22" t="s">
        <v>78</v>
      </c>
      <c r="G138" s="22" t="s">
        <v>79</v>
      </c>
      <c r="H138" s="29">
        <v>42956</v>
      </c>
      <c r="I138" s="58">
        <f t="shared" si="8"/>
        <v>2017</v>
      </c>
      <c r="J138" s="2" t="s">
        <v>153</v>
      </c>
      <c r="K138" s="26">
        <v>2</v>
      </c>
      <c r="L138" s="41" t="s">
        <v>154</v>
      </c>
      <c r="M138" s="2">
        <v>8</v>
      </c>
      <c r="N138" s="2">
        <v>0</v>
      </c>
      <c r="O138" s="2">
        <v>30056.400000000001</v>
      </c>
      <c r="P138" s="41" t="s">
        <v>88</v>
      </c>
      <c r="Q138" s="2">
        <v>90</v>
      </c>
      <c r="R138" s="2">
        <v>0</v>
      </c>
      <c r="S138" s="2">
        <v>0</v>
      </c>
      <c r="T138" s="41">
        <v>82</v>
      </c>
      <c r="U138" s="2">
        <v>0</v>
      </c>
      <c r="V138" s="2">
        <v>-30056.400000000001</v>
      </c>
      <c r="W138" s="41"/>
      <c r="X138" s="41"/>
      <c r="AB138" s="41"/>
    </row>
    <row r="139" spans="3:35" s="2" customFormat="1" ht="15" customHeight="1" x14ac:dyDescent="0.25">
      <c r="C139" s="2" t="s">
        <v>211</v>
      </c>
      <c r="D139" s="2" t="s">
        <v>155</v>
      </c>
      <c r="E139" s="22" t="s">
        <v>61</v>
      </c>
      <c r="F139" s="22" t="s">
        <v>138</v>
      </c>
      <c r="G139" s="22" t="s">
        <v>63</v>
      </c>
      <c r="H139" s="29">
        <v>42984</v>
      </c>
      <c r="I139" s="58">
        <f t="shared" si="8"/>
        <v>2017</v>
      </c>
      <c r="J139" s="30" t="s">
        <v>156</v>
      </c>
      <c r="K139" s="26">
        <v>39</v>
      </c>
      <c r="L139" s="41" t="s">
        <v>74</v>
      </c>
      <c r="M139" s="2">
        <v>1</v>
      </c>
      <c r="N139" s="2">
        <v>0</v>
      </c>
      <c r="O139" s="2">
        <f>39*43560*0.007*0.05</f>
        <v>594.59400000000005</v>
      </c>
      <c r="P139" s="41" t="s">
        <v>93</v>
      </c>
      <c r="Q139" s="2">
        <v>0</v>
      </c>
      <c r="R139" s="2">
        <v>0</v>
      </c>
      <c r="S139" s="2">
        <v>0</v>
      </c>
      <c r="T139" s="41">
        <v>-1</v>
      </c>
      <c r="U139" s="2">
        <v>0</v>
      </c>
      <c r="V139" s="2">
        <v>-594.59400000000005</v>
      </c>
      <c r="W139" s="41"/>
      <c r="X139" s="41">
        <v>39</v>
      </c>
      <c r="Y139" s="2">
        <v>39</v>
      </c>
      <c r="Z139" s="2">
        <v>0</v>
      </c>
      <c r="AA139" s="2">
        <v>0</v>
      </c>
      <c r="AB139" s="50" t="s">
        <v>157</v>
      </c>
      <c r="AD139" s="2" t="b">
        <v>1</v>
      </c>
      <c r="AE139" s="2" t="b">
        <v>1</v>
      </c>
    </row>
    <row r="140" spans="3:35" s="2" customFormat="1" x14ac:dyDescent="0.25">
      <c r="C140" s="2" t="s">
        <v>212</v>
      </c>
      <c r="D140" s="2" t="s">
        <v>158</v>
      </c>
      <c r="E140" s="22" t="s">
        <v>61</v>
      </c>
      <c r="F140" s="22" t="s">
        <v>138</v>
      </c>
      <c r="G140" s="22" t="s">
        <v>63</v>
      </c>
      <c r="H140" s="29">
        <v>43194</v>
      </c>
      <c r="I140" s="58">
        <f t="shared" si="8"/>
        <v>2018</v>
      </c>
      <c r="J140" s="2" t="s">
        <v>159</v>
      </c>
      <c r="K140" s="26">
        <v>35</v>
      </c>
      <c r="L140" s="41" t="s">
        <v>140</v>
      </c>
      <c r="M140" s="2">
        <v>2</v>
      </c>
      <c r="N140" s="2">
        <v>0</v>
      </c>
      <c r="O140" s="2">
        <v>0</v>
      </c>
      <c r="P140" s="41" t="s">
        <v>140</v>
      </c>
      <c r="Q140" s="2">
        <v>0</v>
      </c>
      <c r="R140" s="2">
        <v>0</v>
      </c>
      <c r="S140" s="2">
        <v>0</v>
      </c>
      <c r="T140" s="41">
        <v>-2</v>
      </c>
      <c r="U140" s="2">
        <v>0</v>
      </c>
      <c r="V140" s="2">
        <v>0</v>
      </c>
      <c r="W140" s="41"/>
      <c r="X140" s="41">
        <v>35</v>
      </c>
      <c r="Y140" s="2">
        <v>35</v>
      </c>
      <c r="Z140" s="2">
        <v>35</v>
      </c>
      <c r="AA140" s="2">
        <v>0</v>
      </c>
      <c r="AB140" s="50"/>
    </row>
    <row r="141" spans="3:35" s="2" customFormat="1" x14ac:dyDescent="0.25">
      <c r="C141" s="2" t="s">
        <v>160</v>
      </c>
      <c r="D141" s="2" t="s">
        <v>161</v>
      </c>
      <c r="E141" s="22" t="s">
        <v>77</v>
      </c>
      <c r="F141" s="22" t="s">
        <v>162</v>
      </c>
      <c r="G141" s="22" t="s">
        <v>79</v>
      </c>
      <c r="H141" s="29">
        <v>43299</v>
      </c>
      <c r="I141" s="58">
        <f t="shared" si="8"/>
        <v>2018</v>
      </c>
      <c r="J141" s="30" t="s">
        <v>163</v>
      </c>
      <c r="K141" s="26" t="s">
        <v>164</v>
      </c>
      <c r="L141" s="41"/>
      <c r="P141" s="41"/>
      <c r="T141" s="41">
        <v>132.57239999999999</v>
      </c>
      <c r="V141" s="2">
        <v>34854.97</v>
      </c>
      <c r="W141" s="41"/>
      <c r="X141" s="41"/>
      <c r="AB141" s="41"/>
    </row>
    <row r="142" spans="3:35" s="2" customFormat="1" x14ac:dyDescent="0.25">
      <c r="C142" s="2" t="s">
        <v>213</v>
      </c>
      <c r="D142" s="2" t="s">
        <v>165</v>
      </c>
      <c r="E142" s="22" t="s">
        <v>61</v>
      </c>
      <c r="F142" s="22" t="s">
        <v>138</v>
      </c>
      <c r="G142" s="22" t="s">
        <v>63</v>
      </c>
      <c r="H142" s="29">
        <v>43325</v>
      </c>
      <c r="I142" s="58">
        <f t="shared" si="8"/>
        <v>2018</v>
      </c>
      <c r="J142" s="30" t="s">
        <v>166</v>
      </c>
      <c r="K142" s="26">
        <v>44</v>
      </c>
      <c r="L142" s="41" t="s">
        <v>74</v>
      </c>
      <c r="M142" s="2">
        <v>1</v>
      </c>
      <c r="O142" s="2">
        <v>670.82400000000007</v>
      </c>
      <c r="P142" s="41" t="s">
        <v>93</v>
      </c>
      <c r="Q142" s="2">
        <v>1</v>
      </c>
      <c r="R142" s="2">
        <v>0</v>
      </c>
      <c r="S142" s="2">
        <v>0</v>
      </c>
      <c r="T142" s="41">
        <v>0</v>
      </c>
      <c r="U142" s="2">
        <v>0</v>
      </c>
      <c r="V142" s="2">
        <v>-670.82400000000007</v>
      </c>
      <c r="W142" s="41"/>
      <c r="X142" s="41">
        <v>44</v>
      </c>
      <c r="Y142" s="2">
        <v>0</v>
      </c>
      <c r="Z142" s="2">
        <v>0</v>
      </c>
      <c r="AA142" s="2">
        <v>44</v>
      </c>
      <c r="AB142" s="41" t="s">
        <v>167</v>
      </c>
      <c r="AC142" s="2" t="b">
        <v>1</v>
      </c>
      <c r="AD142" s="2" t="b">
        <v>1</v>
      </c>
      <c r="AE142" s="2" t="b">
        <v>1</v>
      </c>
      <c r="AG142" s="2">
        <v>0</v>
      </c>
      <c r="AH142" s="2">
        <v>0</v>
      </c>
      <c r="AI142" s="2">
        <v>44</v>
      </c>
    </row>
    <row r="143" spans="3:35" s="2" customFormat="1" x14ac:dyDescent="0.25">
      <c r="C143" s="2" t="s">
        <v>168</v>
      </c>
      <c r="D143" s="2" t="s">
        <v>169</v>
      </c>
      <c r="E143" s="22" t="s">
        <v>77</v>
      </c>
      <c r="F143" s="22" t="s">
        <v>138</v>
      </c>
      <c r="G143" s="22" t="s">
        <v>63</v>
      </c>
      <c r="H143" s="29">
        <v>44200</v>
      </c>
      <c r="I143" s="58">
        <f t="shared" si="8"/>
        <v>2021</v>
      </c>
      <c r="J143" s="30" t="s">
        <v>170</v>
      </c>
      <c r="K143" s="26"/>
      <c r="L143" s="41" t="s">
        <v>171</v>
      </c>
      <c r="P143" s="41" t="s">
        <v>171</v>
      </c>
      <c r="T143" s="41">
        <f t="shared" ref="T143:V144" si="11">Q143-M143</f>
        <v>0</v>
      </c>
      <c r="U143" s="2">
        <f t="shared" si="11"/>
        <v>0</v>
      </c>
      <c r="V143" s="2">
        <f t="shared" si="11"/>
        <v>0</v>
      </c>
      <c r="W143" s="41"/>
      <c r="X143" s="41"/>
      <c r="AB143" s="41"/>
    </row>
    <row r="144" spans="3:35" s="2" customFormat="1" x14ac:dyDescent="0.25">
      <c r="C144" s="2" t="s">
        <v>172</v>
      </c>
      <c r="D144" s="2" t="s">
        <v>173</v>
      </c>
      <c r="E144" s="22" t="s">
        <v>77</v>
      </c>
      <c r="F144" s="22" t="s">
        <v>138</v>
      </c>
      <c r="G144" s="22" t="s">
        <v>79</v>
      </c>
      <c r="H144" s="29">
        <v>43438</v>
      </c>
      <c r="I144" s="58">
        <f t="shared" si="8"/>
        <v>2018</v>
      </c>
      <c r="J144" s="24" t="s">
        <v>174</v>
      </c>
      <c r="K144" s="26"/>
      <c r="L144" s="41" t="s">
        <v>74</v>
      </c>
      <c r="M144" s="2">
        <v>0</v>
      </c>
      <c r="N144" s="2">
        <v>0</v>
      </c>
      <c r="O144" s="2">
        <v>0</v>
      </c>
      <c r="P144" s="41" t="s">
        <v>84</v>
      </c>
      <c r="Q144" s="2">
        <v>0</v>
      </c>
      <c r="R144" s="2">
        <v>0</v>
      </c>
      <c r="S144" s="2">
        <v>0</v>
      </c>
      <c r="T144" s="41">
        <f t="shared" si="11"/>
        <v>0</v>
      </c>
      <c r="U144" s="2">
        <f t="shared" si="11"/>
        <v>0</v>
      </c>
      <c r="V144" s="2">
        <f t="shared" si="11"/>
        <v>0</v>
      </c>
      <c r="W144" s="41"/>
      <c r="X144" s="41"/>
      <c r="AB144" s="41"/>
    </row>
    <row r="145" spans="3:35" s="2" customFormat="1" x14ac:dyDescent="0.25">
      <c r="C145" s="2" t="s">
        <v>214</v>
      </c>
      <c r="D145" s="32" t="s">
        <v>175</v>
      </c>
      <c r="E145" s="22" t="s">
        <v>61</v>
      </c>
      <c r="F145" s="22" t="s">
        <v>138</v>
      </c>
      <c r="G145" s="22" t="s">
        <v>63</v>
      </c>
      <c r="H145" s="29">
        <v>43462</v>
      </c>
      <c r="I145" s="58">
        <f t="shared" si="8"/>
        <v>2018</v>
      </c>
      <c r="J145" s="30" t="s">
        <v>176</v>
      </c>
      <c r="K145" s="26">
        <v>112</v>
      </c>
      <c r="L145" s="41" t="s">
        <v>74</v>
      </c>
      <c r="M145" s="2">
        <v>6.048</v>
      </c>
      <c r="O145" s="2">
        <v>1707.5520000000001</v>
      </c>
      <c r="P145" s="41" t="s">
        <v>93</v>
      </c>
      <c r="Q145" s="2">
        <v>2</v>
      </c>
      <c r="R145" s="2">
        <v>0</v>
      </c>
      <c r="S145" s="2">
        <v>0</v>
      </c>
      <c r="T145" s="41">
        <v>-4</v>
      </c>
      <c r="U145" s="2">
        <v>0</v>
      </c>
      <c r="V145" s="2">
        <v>-1707.5520000000001</v>
      </c>
      <c r="W145" s="41"/>
      <c r="X145" s="41">
        <v>112</v>
      </c>
      <c r="Y145" s="2">
        <v>69.3</v>
      </c>
      <c r="Z145" s="2">
        <v>0</v>
      </c>
      <c r="AA145" s="2">
        <v>112</v>
      </c>
      <c r="AB145" s="41" t="s">
        <v>177</v>
      </c>
      <c r="AC145" s="2" t="b">
        <v>1</v>
      </c>
      <c r="AD145" s="2" t="b">
        <v>1</v>
      </c>
      <c r="AE145" s="2" t="b">
        <v>1</v>
      </c>
      <c r="AG145" s="2">
        <v>69.3</v>
      </c>
      <c r="AH145" s="2">
        <v>0</v>
      </c>
      <c r="AI145" s="2">
        <v>112</v>
      </c>
    </row>
    <row r="146" spans="3:35" s="2" customFormat="1" x14ac:dyDescent="0.25">
      <c r="C146" s="2" t="s">
        <v>178</v>
      </c>
      <c r="D146" s="2" t="s">
        <v>179</v>
      </c>
      <c r="E146" s="22" t="s">
        <v>231</v>
      </c>
      <c r="F146" s="22" t="s">
        <v>162</v>
      </c>
      <c r="G146" s="22" t="s">
        <v>79</v>
      </c>
      <c r="H146" s="29">
        <v>43647</v>
      </c>
      <c r="I146" s="58">
        <f t="shared" si="8"/>
        <v>2019</v>
      </c>
      <c r="J146" s="2" t="s">
        <v>180</v>
      </c>
      <c r="K146" s="26"/>
      <c r="L146" s="41" t="s">
        <v>181</v>
      </c>
      <c r="P146" s="41" t="s">
        <v>181</v>
      </c>
      <c r="T146" s="41">
        <v>12</v>
      </c>
      <c r="W146" s="41"/>
      <c r="X146" s="41"/>
      <c r="AB146" s="41" t="s">
        <v>2008</v>
      </c>
    </row>
    <row r="147" spans="3:35" s="2" customFormat="1" x14ac:dyDescent="0.25">
      <c r="C147" s="2" t="s">
        <v>215</v>
      </c>
      <c r="D147" s="2" t="s">
        <v>182</v>
      </c>
      <c r="E147" s="22" t="s">
        <v>61</v>
      </c>
      <c r="F147" s="22" t="s">
        <v>162</v>
      </c>
      <c r="G147" s="22" t="s">
        <v>79</v>
      </c>
      <c r="H147" s="29">
        <v>43693</v>
      </c>
      <c r="I147" s="58">
        <f t="shared" si="8"/>
        <v>2019</v>
      </c>
      <c r="J147" s="2" t="s">
        <v>183</v>
      </c>
      <c r="K147" s="26">
        <v>1.2529999999999999</v>
      </c>
      <c r="L147" s="41" t="s">
        <v>184</v>
      </c>
      <c r="P147" s="41" t="s">
        <v>184</v>
      </c>
      <c r="T147" s="41">
        <v>-7</v>
      </c>
      <c r="U147" s="2">
        <v>-22</v>
      </c>
      <c r="V147" s="2">
        <v>-9339</v>
      </c>
      <c r="W147" s="41"/>
      <c r="X147" s="41">
        <v>1.2529999999999999</v>
      </c>
      <c r="Y147" s="2">
        <v>0</v>
      </c>
      <c r="Z147" s="2">
        <v>0</v>
      </c>
      <c r="AA147" s="2">
        <v>0</v>
      </c>
      <c r="AB147" s="41" t="s">
        <v>185</v>
      </c>
    </row>
    <row r="148" spans="3:35" s="2" customFormat="1" x14ac:dyDescent="0.25">
      <c r="C148" s="2" t="s">
        <v>186</v>
      </c>
      <c r="D148" s="2" t="s">
        <v>187</v>
      </c>
      <c r="E148" s="22" t="s">
        <v>77</v>
      </c>
      <c r="F148" s="22" t="s">
        <v>138</v>
      </c>
      <c r="G148" s="22" t="s">
        <v>63</v>
      </c>
      <c r="H148" s="29">
        <v>43774</v>
      </c>
      <c r="I148" s="58">
        <f t="shared" si="8"/>
        <v>2019</v>
      </c>
      <c r="J148" s="24" t="s">
        <v>188</v>
      </c>
      <c r="K148" s="26"/>
      <c r="L148" s="41" t="s">
        <v>74</v>
      </c>
      <c r="M148" s="2">
        <v>1</v>
      </c>
      <c r="N148" s="2">
        <v>0</v>
      </c>
      <c r="O148" s="2">
        <v>0</v>
      </c>
      <c r="P148" s="41" t="s">
        <v>107</v>
      </c>
      <c r="Q148" s="2">
        <v>1</v>
      </c>
      <c r="R148" s="2">
        <v>0</v>
      </c>
      <c r="S148" s="2">
        <v>0</v>
      </c>
      <c r="T148" s="41">
        <f t="shared" ref="T148:V159" si="12">Q148-M148</f>
        <v>0</v>
      </c>
      <c r="U148" s="2">
        <f t="shared" si="12"/>
        <v>0</v>
      </c>
      <c r="V148" s="2">
        <f t="shared" si="12"/>
        <v>0</v>
      </c>
      <c r="W148" s="41"/>
      <c r="X148" s="41"/>
      <c r="AB148" s="41"/>
    </row>
    <row r="149" spans="3:35" s="2" customFormat="1" x14ac:dyDescent="0.25">
      <c r="C149" s="2" t="s">
        <v>189</v>
      </c>
      <c r="D149" s="2" t="s">
        <v>190</v>
      </c>
      <c r="E149" s="22" t="s">
        <v>77</v>
      </c>
      <c r="F149" s="22" t="s">
        <v>138</v>
      </c>
      <c r="G149" s="22" t="s">
        <v>79</v>
      </c>
      <c r="H149" s="29">
        <v>43781</v>
      </c>
      <c r="I149" s="58">
        <f t="shared" si="8"/>
        <v>2019</v>
      </c>
      <c r="J149" s="30" t="s">
        <v>191</v>
      </c>
      <c r="K149" s="26"/>
      <c r="L149" s="41" t="s">
        <v>63</v>
      </c>
      <c r="M149" s="2">
        <v>2</v>
      </c>
      <c r="N149" s="2">
        <v>0</v>
      </c>
      <c r="O149" s="2">
        <v>0</v>
      </c>
      <c r="P149" s="41" t="s">
        <v>192</v>
      </c>
      <c r="Q149" s="2">
        <v>2</v>
      </c>
      <c r="R149" s="2">
        <v>0</v>
      </c>
      <c r="S149" s="2">
        <v>0</v>
      </c>
      <c r="T149" s="41">
        <f t="shared" si="12"/>
        <v>0</v>
      </c>
      <c r="U149" s="2">
        <f t="shared" si="12"/>
        <v>0</v>
      </c>
      <c r="V149" s="2">
        <f t="shared" si="12"/>
        <v>0</v>
      </c>
      <c r="W149" s="41"/>
      <c r="X149" s="41"/>
      <c r="AB149" s="41"/>
    </row>
    <row r="150" spans="3:35" s="2" customFormat="1" x14ac:dyDescent="0.25">
      <c r="C150" s="2" t="s">
        <v>1998</v>
      </c>
      <c r="D150" s="2" t="s">
        <v>1999</v>
      </c>
      <c r="E150" s="22" t="s">
        <v>77</v>
      </c>
      <c r="F150" s="22" t="s">
        <v>138</v>
      </c>
      <c r="G150" s="22"/>
      <c r="H150" s="29">
        <v>43836</v>
      </c>
      <c r="I150" s="58">
        <f t="shared" si="8"/>
        <v>2020</v>
      </c>
      <c r="J150" s="30"/>
      <c r="K150" s="26"/>
      <c r="L150" s="41"/>
      <c r="P150" s="41"/>
      <c r="T150" s="41"/>
      <c r="W150" s="41"/>
      <c r="X150" s="41"/>
      <c r="AB150" s="41" t="s">
        <v>93</v>
      </c>
    </row>
    <row r="151" spans="3:35" s="2" customFormat="1" x14ac:dyDescent="0.25">
      <c r="C151" s="168" t="s">
        <v>193</v>
      </c>
      <c r="D151" s="168" t="s">
        <v>1980</v>
      </c>
      <c r="E151" s="22" t="s">
        <v>77</v>
      </c>
      <c r="F151" s="22" t="s">
        <v>138</v>
      </c>
      <c r="G151" s="22" t="s">
        <v>63</v>
      </c>
      <c r="H151" s="29">
        <v>44200</v>
      </c>
      <c r="I151" s="58">
        <f t="shared" si="8"/>
        <v>2021</v>
      </c>
      <c r="J151" s="30" t="s">
        <v>194</v>
      </c>
      <c r="K151" s="26"/>
      <c r="L151" s="41" t="s">
        <v>195</v>
      </c>
      <c r="P151" s="41" t="s">
        <v>195</v>
      </c>
      <c r="T151" s="41">
        <f t="shared" si="12"/>
        <v>0</v>
      </c>
      <c r="U151" s="2">
        <f t="shared" si="12"/>
        <v>0</v>
      </c>
      <c r="V151" s="2">
        <f t="shared" si="12"/>
        <v>0</v>
      </c>
      <c r="W151" s="41"/>
      <c r="X151" s="41"/>
      <c r="AB151" s="41" t="s">
        <v>1997</v>
      </c>
    </row>
    <row r="152" spans="3:35" s="2" customFormat="1" x14ac:dyDescent="0.25">
      <c r="C152" s="223" t="s">
        <v>1983</v>
      </c>
      <c r="D152" s="223" t="s">
        <v>1990</v>
      </c>
      <c r="E152" s="22" t="s">
        <v>77</v>
      </c>
      <c r="F152" s="22" t="s">
        <v>138</v>
      </c>
      <c r="G152" s="22"/>
      <c r="H152" s="29">
        <v>44200</v>
      </c>
      <c r="I152" s="58">
        <f t="shared" ref="I152:I182" si="13">YEAR(H152)</f>
        <v>2021</v>
      </c>
      <c r="J152" s="30" t="s">
        <v>2002</v>
      </c>
      <c r="K152" s="26"/>
      <c r="L152" s="41"/>
      <c r="P152" s="41"/>
      <c r="T152" s="41">
        <f t="shared" ref="T152:V158" si="14">Q152-M152</f>
        <v>0</v>
      </c>
      <c r="U152" s="2">
        <f t="shared" si="14"/>
        <v>0</v>
      </c>
      <c r="V152" s="2">
        <f t="shared" si="14"/>
        <v>0</v>
      </c>
      <c r="W152" s="41"/>
      <c r="X152" s="41"/>
      <c r="AB152" s="41" t="s">
        <v>93</v>
      </c>
    </row>
    <row r="153" spans="3:35" s="2" customFormat="1" x14ac:dyDescent="0.25">
      <c r="C153" s="223" t="s">
        <v>1984</v>
      </c>
      <c r="D153" s="223" t="s">
        <v>1991</v>
      </c>
      <c r="E153" s="22" t="s">
        <v>77</v>
      </c>
      <c r="F153" s="22" t="s">
        <v>138</v>
      </c>
      <c r="G153" s="22"/>
      <c r="H153" s="29">
        <v>43898</v>
      </c>
      <c r="I153" s="58">
        <f t="shared" si="13"/>
        <v>2020</v>
      </c>
      <c r="J153" s="30" t="s">
        <v>2002</v>
      </c>
      <c r="K153" s="26"/>
      <c r="L153" s="41"/>
      <c r="P153" s="41"/>
      <c r="T153" s="41">
        <f t="shared" si="14"/>
        <v>0</v>
      </c>
      <c r="U153" s="2">
        <f t="shared" si="14"/>
        <v>0</v>
      </c>
      <c r="V153" s="2">
        <f t="shared" si="14"/>
        <v>0</v>
      </c>
      <c r="W153" s="41"/>
      <c r="X153" s="41"/>
      <c r="AB153" s="41" t="s">
        <v>93</v>
      </c>
    </row>
    <row r="154" spans="3:35" s="2" customFormat="1" x14ac:dyDescent="0.25">
      <c r="C154" s="223" t="s">
        <v>1985</v>
      </c>
      <c r="D154" s="223" t="s">
        <v>1992</v>
      </c>
      <c r="E154" s="22" t="s">
        <v>77</v>
      </c>
      <c r="F154" s="22" t="s">
        <v>138</v>
      </c>
      <c r="G154" s="22"/>
      <c r="H154" s="29">
        <v>44200</v>
      </c>
      <c r="I154" s="58">
        <f t="shared" si="13"/>
        <v>2021</v>
      </c>
      <c r="J154" s="30" t="s">
        <v>2002</v>
      </c>
      <c r="K154" s="26"/>
      <c r="L154" s="41"/>
      <c r="P154" s="41"/>
      <c r="T154" s="41">
        <f t="shared" si="14"/>
        <v>0</v>
      </c>
      <c r="U154" s="2">
        <f t="shared" si="14"/>
        <v>0</v>
      </c>
      <c r="V154" s="2">
        <f t="shared" si="14"/>
        <v>0</v>
      </c>
      <c r="W154" s="41"/>
      <c r="X154" s="41"/>
      <c r="AB154" s="41" t="s">
        <v>93</v>
      </c>
    </row>
    <row r="155" spans="3:35" s="2" customFormat="1" x14ac:dyDescent="0.25">
      <c r="C155" s="223" t="s">
        <v>1986</v>
      </c>
      <c r="D155" s="223" t="s">
        <v>1996</v>
      </c>
      <c r="E155" s="22" t="s">
        <v>77</v>
      </c>
      <c r="F155" s="22" t="s">
        <v>138</v>
      </c>
      <c r="G155" s="22"/>
      <c r="H155" s="29">
        <v>44200</v>
      </c>
      <c r="I155" s="58">
        <f t="shared" si="13"/>
        <v>2021</v>
      </c>
      <c r="J155" s="30" t="s">
        <v>2002</v>
      </c>
      <c r="K155" s="26"/>
      <c r="L155" s="41"/>
      <c r="P155" s="41"/>
      <c r="T155" s="41">
        <f t="shared" si="14"/>
        <v>0</v>
      </c>
      <c r="U155" s="2">
        <f t="shared" si="14"/>
        <v>0</v>
      </c>
      <c r="V155" s="2">
        <f t="shared" si="14"/>
        <v>0</v>
      </c>
      <c r="W155" s="41"/>
      <c r="X155" s="41"/>
      <c r="AB155" s="41" t="s">
        <v>93</v>
      </c>
    </row>
    <row r="156" spans="3:35" s="2" customFormat="1" x14ac:dyDescent="0.25">
      <c r="C156" s="223" t="s">
        <v>1987</v>
      </c>
      <c r="D156" s="223" t="s">
        <v>1993</v>
      </c>
      <c r="E156" s="22" t="s">
        <v>77</v>
      </c>
      <c r="F156" s="22" t="s">
        <v>138</v>
      </c>
      <c r="G156" s="22"/>
      <c r="H156" s="29">
        <v>44200</v>
      </c>
      <c r="I156" s="58">
        <f t="shared" si="13"/>
        <v>2021</v>
      </c>
      <c r="J156" s="30" t="s">
        <v>2002</v>
      </c>
      <c r="K156" s="26"/>
      <c r="L156" s="41"/>
      <c r="P156" s="41"/>
      <c r="T156" s="41">
        <f t="shared" si="14"/>
        <v>0</v>
      </c>
      <c r="U156" s="2">
        <f t="shared" si="14"/>
        <v>0</v>
      </c>
      <c r="V156" s="2">
        <f t="shared" si="14"/>
        <v>0</v>
      </c>
      <c r="W156" s="41"/>
      <c r="X156" s="41"/>
      <c r="AB156" s="41" t="s">
        <v>93</v>
      </c>
    </row>
    <row r="157" spans="3:35" s="2" customFormat="1" x14ac:dyDescent="0.25">
      <c r="C157" s="223" t="s">
        <v>1988</v>
      </c>
      <c r="D157" s="223" t="s">
        <v>1995</v>
      </c>
      <c r="E157" s="22" t="s">
        <v>77</v>
      </c>
      <c r="F157" s="22" t="s">
        <v>138</v>
      </c>
      <c r="G157" s="22"/>
      <c r="H157" s="29">
        <v>44200</v>
      </c>
      <c r="I157" s="58">
        <f t="shared" si="13"/>
        <v>2021</v>
      </c>
      <c r="J157" s="30" t="s">
        <v>2002</v>
      </c>
      <c r="K157" s="26"/>
      <c r="L157" s="41"/>
      <c r="P157" s="41"/>
      <c r="T157" s="41">
        <f t="shared" si="14"/>
        <v>0</v>
      </c>
      <c r="U157" s="2">
        <f t="shared" si="14"/>
        <v>0</v>
      </c>
      <c r="V157" s="2">
        <f t="shared" si="14"/>
        <v>0</v>
      </c>
      <c r="W157" s="41"/>
      <c r="X157" s="41"/>
      <c r="AB157" s="41" t="s">
        <v>93</v>
      </c>
    </row>
    <row r="158" spans="3:35" s="2" customFormat="1" x14ac:dyDescent="0.25">
      <c r="C158" s="223" t="s">
        <v>1989</v>
      </c>
      <c r="D158" s="223" t="s">
        <v>1994</v>
      </c>
      <c r="E158" s="22" t="s">
        <v>77</v>
      </c>
      <c r="F158" s="22" t="s">
        <v>138</v>
      </c>
      <c r="G158" s="22"/>
      <c r="H158" s="29">
        <v>44201</v>
      </c>
      <c r="I158" s="58">
        <f t="shared" si="13"/>
        <v>2021</v>
      </c>
      <c r="J158" s="30" t="s">
        <v>2002</v>
      </c>
      <c r="K158" s="26"/>
      <c r="L158" s="41"/>
      <c r="P158" s="41"/>
      <c r="T158" s="41">
        <f t="shared" si="14"/>
        <v>0</v>
      </c>
      <c r="U158" s="2">
        <f t="shared" si="14"/>
        <v>0</v>
      </c>
      <c r="V158" s="2">
        <f t="shared" si="14"/>
        <v>0</v>
      </c>
      <c r="W158" s="41"/>
      <c r="X158" s="41"/>
      <c r="AB158" s="41" t="s">
        <v>93</v>
      </c>
    </row>
    <row r="159" spans="3:35" s="2" customFormat="1" x14ac:dyDescent="0.25">
      <c r="C159" s="2" t="s">
        <v>196</v>
      </c>
      <c r="D159" s="2" t="s">
        <v>197</v>
      </c>
      <c r="E159" s="22" t="s">
        <v>77</v>
      </c>
      <c r="F159" s="22" t="s">
        <v>138</v>
      </c>
      <c r="G159" s="22" t="s">
        <v>79</v>
      </c>
      <c r="H159" s="296" t="s">
        <v>198</v>
      </c>
      <c r="I159" s="58" t="e">
        <f t="shared" si="13"/>
        <v>#VALUE!</v>
      </c>
      <c r="J159" s="24" t="s">
        <v>199</v>
      </c>
      <c r="K159" s="26"/>
      <c r="L159" s="41" t="s">
        <v>74</v>
      </c>
      <c r="P159" s="41" t="s">
        <v>84</v>
      </c>
      <c r="T159" s="41">
        <f t="shared" si="12"/>
        <v>0</v>
      </c>
      <c r="U159" s="2">
        <f t="shared" si="12"/>
        <v>0</v>
      </c>
      <c r="V159" s="2">
        <f t="shared" si="12"/>
        <v>0</v>
      </c>
      <c r="W159" s="41"/>
      <c r="X159" s="41"/>
      <c r="AB159" s="41"/>
    </row>
    <row r="160" spans="3:35" s="2" customFormat="1" x14ac:dyDescent="0.25">
      <c r="C160" s="2" t="s">
        <v>200</v>
      </c>
      <c r="D160" s="2" t="s">
        <v>201</v>
      </c>
      <c r="E160" s="60" t="s">
        <v>231</v>
      </c>
      <c r="F160" s="22" t="s">
        <v>162</v>
      </c>
      <c r="G160" s="22" t="s">
        <v>79</v>
      </c>
      <c r="H160" s="296">
        <v>43952</v>
      </c>
      <c r="I160" s="58">
        <f t="shared" si="13"/>
        <v>2020</v>
      </c>
      <c r="J160" s="2" t="s">
        <v>202</v>
      </c>
      <c r="K160" s="26"/>
      <c r="L160" s="41" t="s">
        <v>203</v>
      </c>
      <c r="P160" s="41" t="s">
        <v>203</v>
      </c>
      <c r="T160" s="41">
        <v>13</v>
      </c>
      <c r="W160" s="41"/>
      <c r="X160" s="41"/>
      <c r="AB160" s="41" t="s">
        <v>2024</v>
      </c>
    </row>
    <row r="161" spans="3:28" s="2" customFormat="1" x14ac:dyDescent="0.25">
      <c r="C161" s="2" t="s">
        <v>205</v>
      </c>
      <c r="D161" s="2" t="s">
        <v>206</v>
      </c>
      <c r="E161" s="22" t="s">
        <v>77</v>
      </c>
      <c r="F161" s="22" t="s">
        <v>162</v>
      </c>
      <c r="G161" s="22" t="s">
        <v>79</v>
      </c>
      <c r="H161" s="29">
        <v>43838</v>
      </c>
      <c r="I161" s="58">
        <f t="shared" si="13"/>
        <v>2020</v>
      </c>
      <c r="J161" s="22" t="s">
        <v>207</v>
      </c>
      <c r="K161" s="26">
        <v>3.72</v>
      </c>
      <c r="L161" s="41" t="s">
        <v>110</v>
      </c>
      <c r="O161" s="297">
        <f>K161*0.35*43560</f>
        <v>56715.12</v>
      </c>
      <c r="P161" s="41" t="s">
        <v>203</v>
      </c>
      <c r="Q161" s="295">
        <f>ROUNDDOWN(K161*0.4*43560*0.25/1200,0)</f>
        <v>13</v>
      </c>
      <c r="S161" s="295">
        <f>K161*0.4*43560*0.75</f>
        <v>48612.960000000006</v>
      </c>
      <c r="T161" s="41">
        <f t="shared" ref="T161:T215" si="15">Q161-M161</f>
        <v>13</v>
      </c>
      <c r="U161" s="2">
        <f t="shared" ref="U161:U215" si="16">R161-N161</f>
        <v>0</v>
      </c>
      <c r="V161" s="2">
        <f t="shared" ref="V161:V215" si="17">S161-O161</f>
        <v>-8102.1599999999962</v>
      </c>
      <c r="W161" s="41"/>
      <c r="X161" s="41"/>
      <c r="AB161" s="41"/>
    </row>
    <row r="162" spans="3:28" s="2" customFormat="1" x14ac:dyDescent="0.25">
      <c r="C162" s="2" t="s">
        <v>1971</v>
      </c>
      <c r="D162" s="2" t="s">
        <v>1972</v>
      </c>
      <c r="E162" s="22" t="s">
        <v>91</v>
      </c>
      <c r="F162" s="22" t="s">
        <v>138</v>
      </c>
      <c r="G162" s="22" t="s">
        <v>63</v>
      </c>
      <c r="H162" s="29">
        <v>43923</v>
      </c>
      <c r="I162" s="58">
        <f t="shared" si="13"/>
        <v>2020</v>
      </c>
      <c r="J162" s="22" t="s">
        <v>1975</v>
      </c>
      <c r="K162" s="26">
        <v>1</v>
      </c>
      <c r="L162" s="41" t="s">
        <v>129</v>
      </c>
      <c r="M162" s="2">
        <v>1</v>
      </c>
      <c r="P162" s="41" t="s">
        <v>93</v>
      </c>
      <c r="Q162" s="2">
        <v>0</v>
      </c>
      <c r="R162" s="2">
        <v>0</v>
      </c>
      <c r="S162" s="2">
        <v>0</v>
      </c>
      <c r="T162" s="41">
        <f t="shared" si="15"/>
        <v>-1</v>
      </c>
      <c r="U162" s="2">
        <f t="shared" si="16"/>
        <v>0</v>
      </c>
      <c r="V162" s="2">
        <f t="shared" si="17"/>
        <v>0</v>
      </c>
      <c r="W162" s="41"/>
      <c r="X162" s="41"/>
      <c r="AB162" s="41"/>
    </row>
    <row r="163" spans="3:28" s="2" customFormat="1" x14ac:dyDescent="0.25">
      <c r="C163" s="2" t="s">
        <v>1973</v>
      </c>
      <c r="D163" s="2" t="s">
        <v>1976</v>
      </c>
      <c r="E163" s="22" t="s">
        <v>91</v>
      </c>
      <c r="F163" s="22" t="s">
        <v>138</v>
      </c>
      <c r="G163" s="22" t="s">
        <v>63</v>
      </c>
      <c r="H163" s="29">
        <v>44141</v>
      </c>
      <c r="I163" s="58">
        <f t="shared" si="13"/>
        <v>2020</v>
      </c>
      <c r="J163" s="22" t="s">
        <v>1974</v>
      </c>
      <c r="K163" s="26">
        <v>35.67</v>
      </c>
      <c r="L163" s="41" t="s">
        <v>74</v>
      </c>
      <c r="M163" s="295">
        <v>1</v>
      </c>
      <c r="P163" s="41" t="s">
        <v>93</v>
      </c>
      <c r="Q163" s="2">
        <v>0</v>
      </c>
      <c r="R163" s="2">
        <v>0</v>
      </c>
      <c r="S163" s="2">
        <v>0</v>
      </c>
      <c r="T163" s="41">
        <f t="shared" si="15"/>
        <v>-1</v>
      </c>
      <c r="U163" s="2">
        <f t="shared" si="16"/>
        <v>0</v>
      </c>
      <c r="V163" s="2">
        <f t="shared" si="17"/>
        <v>0</v>
      </c>
      <c r="W163" s="41"/>
      <c r="X163" s="41"/>
      <c r="AB163" s="41"/>
    </row>
    <row r="164" spans="3:28" s="2" customFormat="1" x14ac:dyDescent="0.25">
      <c r="C164" s="223" t="s">
        <v>1981</v>
      </c>
      <c r="D164" s="223" t="s">
        <v>1982</v>
      </c>
      <c r="E164" s="22" t="s">
        <v>77</v>
      </c>
      <c r="F164" s="22" t="s">
        <v>138</v>
      </c>
      <c r="G164" s="22"/>
      <c r="H164" s="22" t="s">
        <v>198</v>
      </c>
      <c r="I164" s="58" t="e">
        <f t="shared" si="13"/>
        <v>#VALUE!</v>
      </c>
      <c r="K164" s="26"/>
      <c r="L164" s="41"/>
      <c r="P164" s="41"/>
      <c r="T164" s="41">
        <f t="shared" si="15"/>
        <v>0</v>
      </c>
      <c r="U164" s="2">
        <f t="shared" si="16"/>
        <v>0</v>
      </c>
      <c r="V164" s="2">
        <f t="shared" si="17"/>
        <v>0</v>
      </c>
      <c r="W164" s="41"/>
      <c r="X164" s="41"/>
    </row>
    <row r="165" spans="3:28" s="2" customFormat="1" x14ac:dyDescent="0.25">
      <c r="C165" s="223" t="s">
        <v>2015</v>
      </c>
      <c r="D165" s="223" t="s">
        <v>2010</v>
      </c>
      <c r="E165" s="22" t="s">
        <v>231</v>
      </c>
      <c r="F165" s="22" t="s">
        <v>162</v>
      </c>
      <c r="G165" s="22" t="s">
        <v>79</v>
      </c>
      <c r="H165" s="29">
        <v>44075</v>
      </c>
      <c r="I165" s="58">
        <f t="shared" si="13"/>
        <v>2020</v>
      </c>
      <c r="J165" s="223" t="s">
        <v>2019</v>
      </c>
      <c r="K165" s="26"/>
      <c r="L165" s="41" t="s">
        <v>2025</v>
      </c>
      <c r="P165" s="41" t="s">
        <v>2025</v>
      </c>
      <c r="T165" s="41">
        <v>3</v>
      </c>
      <c r="U165" s="2">
        <f t="shared" ref="U165:V168" si="18">R165-N165</f>
        <v>0</v>
      </c>
      <c r="V165" s="2">
        <f t="shared" si="18"/>
        <v>0</v>
      </c>
      <c r="W165" s="41"/>
      <c r="X165" s="41"/>
      <c r="AB165" s="41" t="s">
        <v>2016</v>
      </c>
    </row>
    <row r="166" spans="3:28" s="2" customFormat="1" x14ac:dyDescent="0.25">
      <c r="C166" s="223" t="s">
        <v>2017</v>
      </c>
      <c r="D166" s="223" t="s">
        <v>2011</v>
      </c>
      <c r="E166" s="22" t="s">
        <v>231</v>
      </c>
      <c r="F166" s="22" t="s">
        <v>162</v>
      </c>
      <c r="G166" s="22" t="s">
        <v>79</v>
      </c>
      <c r="H166" s="29">
        <v>44044</v>
      </c>
      <c r="I166" s="58">
        <f t="shared" si="13"/>
        <v>2020</v>
      </c>
      <c r="J166" s="223" t="s">
        <v>2018</v>
      </c>
      <c r="K166" s="26"/>
      <c r="L166" s="41" t="s">
        <v>2025</v>
      </c>
      <c r="P166" s="41" t="s">
        <v>2025</v>
      </c>
      <c r="T166" s="41">
        <v>1</v>
      </c>
      <c r="U166" s="2">
        <f t="shared" si="18"/>
        <v>0</v>
      </c>
      <c r="V166" s="2">
        <f t="shared" si="18"/>
        <v>0</v>
      </c>
      <c r="W166" s="41"/>
      <c r="X166" s="41"/>
      <c r="AB166" s="41" t="s">
        <v>2012</v>
      </c>
    </row>
    <row r="167" spans="3:28" s="2" customFormat="1" x14ac:dyDescent="0.25">
      <c r="C167" s="223" t="s">
        <v>2021</v>
      </c>
      <c r="D167" s="223" t="s">
        <v>2009</v>
      </c>
      <c r="E167" s="22" t="s">
        <v>231</v>
      </c>
      <c r="F167" s="22" t="s">
        <v>162</v>
      </c>
      <c r="G167" s="22" t="s">
        <v>79</v>
      </c>
      <c r="H167" s="29">
        <v>43952</v>
      </c>
      <c r="I167" s="58">
        <f t="shared" si="13"/>
        <v>2020</v>
      </c>
      <c r="J167" s="223" t="s">
        <v>2020</v>
      </c>
      <c r="K167" s="26"/>
      <c r="L167" s="41" t="s">
        <v>2026</v>
      </c>
      <c r="P167" s="41" t="s">
        <v>2026</v>
      </c>
      <c r="T167" s="41">
        <v>5</v>
      </c>
      <c r="U167" s="2">
        <f t="shared" si="18"/>
        <v>0</v>
      </c>
      <c r="V167" s="2">
        <f t="shared" si="18"/>
        <v>0</v>
      </c>
      <c r="W167" s="41"/>
      <c r="X167" s="41"/>
      <c r="AB167" s="41" t="s">
        <v>204</v>
      </c>
    </row>
    <row r="168" spans="3:28" x14ac:dyDescent="0.25">
      <c r="C168" s="168" t="s">
        <v>2001</v>
      </c>
      <c r="D168" s="2" t="s">
        <v>2000</v>
      </c>
      <c r="E168" s="60" t="s">
        <v>231</v>
      </c>
      <c r="F168" s="19" t="s">
        <v>162</v>
      </c>
      <c r="G168" s="19" t="s">
        <v>79</v>
      </c>
      <c r="H168" t="s">
        <v>198</v>
      </c>
      <c r="I168" s="58" t="e">
        <f t="shared" si="13"/>
        <v>#VALUE!</v>
      </c>
      <c r="J168" s="223" t="s">
        <v>2023</v>
      </c>
      <c r="K168" s="20"/>
      <c r="L168" s="42" t="s">
        <v>154</v>
      </c>
      <c r="P168" s="42" t="s">
        <v>154</v>
      </c>
      <c r="T168" s="41">
        <v>28</v>
      </c>
      <c r="U168" s="2">
        <f t="shared" si="18"/>
        <v>0</v>
      </c>
      <c r="V168" s="2">
        <f t="shared" si="18"/>
        <v>0</v>
      </c>
      <c r="W168" s="41"/>
      <c r="Y168" s="18"/>
      <c r="AB168" s="41" t="s">
        <v>2022</v>
      </c>
    </row>
    <row r="169" spans="3:28" x14ac:dyDescent="0.25">
      <c r="C169" s="299" t="s">
        <v>2013</v>
      </c>
      <c r="D169" s="2" t="s">
        <v>2003</v>
      </c>
      <c r="E169" s="60" t="s">
        <v>231</v>
      </c>
      <c r="F169" s="19" t="s">
        <v>162</v>
      </c>
      <c r="G169" s="19" t="s">
        <v>79</v>
      </c>
      <c r="H169" s="29">
        <v>44044</v>
      </c>
      <c r="I169" s="58">
        <f t="shared" si="13"/>
        <v>2020</v>
      </c>
      <c r="J169" s="223" t="s">
        <v>2027</v>
      </c>
      <c r="K169" s="20"/>
      <c r="L169" s="42" t="s">
        <v>1175</v>
      </c>
      <c r="P169" s="42" t="s">
        <v>1175</v>
      </c>
      <c r="T169" s="41">
        <v>3</v>
      </c>
      <c r="U169" s="2">
        <f t="shared" si="16"/>
        <v>0</v>
      </c>
      <c r="V169" s="2">
        <f t="shared" si="17"/>
        <v>0</v>
      </c>
      <c r="W169" s="41"/>
      <c r="Y169" s="18"/>
      <c r="AB169" s="42" t="s">
        <v>2014</v>
      </c>
    </row>
    <row r="170" spans="3:28" x14ac:dyDescent="0.25">
      <c r="C170" s="223" t="s">
        <v>2004</v>
      </c>
      <c r="D170" s="2" t="s">
        <v>2005</v>
      </c>
      <c r="E170" s="19" t="s">
        <v>61</v>
      </c>
      <c r="F170" s="19" t="s">
        <v>138</v>
      </c>
      <c r="G170" s="19" t="s">
        <v>63</v>
      </c>
      <c r="H170" s="29">
        <v>44152</v>
      </c>
      <c r="I170" s="58">
        <f t="shared" si="13"/>
        <v>2020</v>
      </c>
      <c r="J170" s="223" t="s">
        <v>2006</v>
      </c>
      <c r="K170" s="20">
        <v>12.02</v>
      </c>
      <c r="T170" s="41">
        <f t="shared" si="15"/>
        <v>0</v>
      </c>
      <c r="U170" s="2">
        <f t="shared" si="16"/>
        <v>0</v>
      </c>
      <c r="V170" s="2">
        <f t="shared" si="17"/>
        <v>0</v>
      </c>
      <c r="W170" s="41"/>
      <c r="X170" s="42">
        <v>3.47</v>
      </c>
      <c r="Y170" s="18"/>
      <c r="Z170">
        <v>2.38</v>
      </c>
      <c r="AB170" s="42" t="s">
        <v>2007</v>
      </c>
    </row>
    <row r="171" spans="3:28" x14ac:dyDescent="0.25">
      <c r="C171" t="s">
        <v>2029</v>
      </c>
      <c r="D171" s="2" t="s">
        <v>2030</v>
      </c>
      <c r="E171" s="19" t="s">
        <v>1872</v>
      </c>
      <c r="F171" s="19" t="s">
        <v>138</v>
      </c>
      <c r="G171" s="19" t="s">
        <v>63</v>
      </c>
      <c r="H171" s="298">
        <v>44187</v>
      </c>
      <c r="I171" s="58">
        <f t="shared" si="13"/>
        <v>2020</v>
      </c>
      <c r="J171" s="19" t="s">
        <v>2031</v>
      </c>
      <c r="K171" s="20">
        <f>46.18+50.83+55.84</f>
        <v>152.85</v>
      </c>
      <c r="T171" s="41">
        <f t="shared" si="15"/>
        <v>0</v>
      </c>
      <c r="U171" s="2">
        <f t="shared" si="16"/>
        <v>0</v>
      </c>
      <c r="V171" s="2">
        <f t="shared" si="17"/>
        <v>0</v>
      </c>
      <c r="W171" s="41">
        <v>2</v>
      </c>
      <c r="X171" s="42">
        <v>152.85</v>
      </c>
      <c r="Y171" s="18"/>
      <c r="Z171">
        <v>152.85</v>
      </c>
      <c r="AA171">
        <v>152.85</v>
      </c>
      <c r="AB171" s="42">
        <v>35</v>
      </c>
    </row>
    <row r="172" spans="3:28" x14ac:dyDescent="0.25">
      <c r="C172" t="s">
        <v>2032</v>
      </c>
      <c r="D172" s="2" t="s">
        <v>2033</v>
      </c>
      <c r="E172" s="19" t="s">
        <v>1872</v>
      </c>
      <c r="F172" s="19" t="s">
        <v>138</v>
      </c>
      <c r="G172" s="19" t="s">
        <v>63</v>
      </c>
      <c r="H172" s="298">
        <v>44235</v>
      </c>
      <c r="I172" s="58">
        <f t="shared" si="13"/>
        <v>2021</v>
      </c>
      <c r="J172" s="19" t="s">
        <v>2034</v>
      </c>
      <c r="K172" s="20">
        <v>26.63</v>
      </c>
      <c r="T172" s="41">
        <f t="shared" si="15"/>
        <v>0</v>
      </c>
      <c r="U172" s="2">
        <f t="shared" si="16"/>
        <v>0</v>
      </c>
      <c r="V172" s="2">
        <f t="shared" si="17"/>
        <v>0</v>
      </c>
      <c r="W172" s="41">
        <v>2</v>
      </c>
      <c r="X172" s="42">
        <v>26.63</v>
      </c>
      <c r="Y172" s="18"/>
      <c r="AA172">
        <v>26.63</v>
      </c>
      <c r="AB172" s="42" t="s">
        <v>1900</v>
      </c>
    </row>
    <row r="173" spans="3:28" x14ac:dyDescent="0.25">
      <c r="D173" s="2" t="s">
        <v>2041</v>
      </c>
      <c r="E173" s="19" t="s">
        <v>231</v>
      </c>
      <c r="F173" s="19" t="s">
        <v>162</v>
      </c>
      <c r="G173" s="19" t="s">
        <v>79</v>
      </c>
      <c r="I173" s="58">
        <f t="shared" si="13"/>
        <v>1900</v>
      </c>
      <c r="K173" s="20"/>
      <c r="T173" s="41">
        <f t="shared" si="15"/>
        <v>0</v>
      </c>
      <c r="U173" s="2">
        <f t="shared" si="16"/>
        <v>0</v>
      </c>
      <c r="V173" s="2">
        <f t="shared" si="17"/>
        <v>0</v>
      </c>
      <c r="W173" s="41"/>
      <c r="Y173" s="18"/>
    </row>
    <row r="174" spans="3:28" x14ac:dyDescent="0.25">
      <c r="D174" s="2" t="s">
        <v>2042</v>
      </c>
      <c r="E174" s="19"/>
      <c r="F174" s="19" t="s">
        <v>162</v>
      </c>
      <c r="G174" s="19" t="s">
        <v>79</v>
      </c>
      <c r="I174" s="58">
        <f t="shared" si="13"/>
        <v>1900</v>
      </c>
      <c r="K174" s="20"/>
      <c r="T174" s="41">
        <f t="shared" si="15"/>
        <v>0</v>
      </c>
      <c r="U174" s="2">
        <f t="shared" si="16"/>
        <v>0</v>
      </c>
      <c r="V174" s="2">
        <f t="shared" si="17"/>
        <v>0</v>
      </c>
      <c r="W174" s="41"/>
      <c r="Y174" s="18"/>
    </row>
    <row r="175" spans="3:28" x14ac:dyDescent="0.25">
      <c r="D175" s="2"/>
      <c r="E175" s="19"/>
      <c r="F175" s="19"/>
      <c r="G175" s="19"/>
      <c r="I175" s="58">
        <f t="shared" si="13"/>
        <v>1900</v>
      </c>
      <c r="K175" s="20"/>
      <c r="T175" s="41">
        <f t="shared" si="15"/>
        <v>0</v>
      </c>
      <c r="U175" s="2">
        <f t="shared" si="16"/>
        <v>0</v>
      </c>
      <c r="V175" s="2">
        <f t="shared" si="17"/>
        <v>0</v>
      </c>
      <c r="W175" s="41"/>
      <c r="Y175" s="18"/>
    </row>
    <row r="176" spans="3:28" x14ac:dyDescent="0.25">
      <c r="E176" s="19"/>
      <c r="F176" s="19"/>
      <c r="G176" s="19"/>
      <c r="I176" s="58">
        <f t="shared" si="13"/>
        <v>1900</v>
      </c>
      <c r="K176" s="20"/>
      <c r="T176" s="41">
        <f t="shared" si="15"/>
        <v>0</v>
      </c>
      <c r="U176" s="2">
        <f t="shared" si="16"/>
        <v>0</v>
      </c>
      <c r="V176" s="2">
        <f t="shared" si="17"/>
        <v>0</v>
      </c>
      <c r="W176" s="41"/>
      <c r="Y176" s="18"/>
    </row>
    <row r="177" spans="5:25" x14ac:dyDescent="0.25">
      <c r="E177" s="19"/>
      <c r="F177" s="19"/>
      <c r="G177" s="19"/>
      <c r="I177" s="58">
        <f t="shared" si="13"/>
        <v>1900</v>
      </c>
      <c r="K177" s="20"/>
      <c r="T177" s="41">
        <f t="shared" si="15"/>
        <v>0</v>
      </c>
      <c r="U177" s="2">
        <f t="shared" si="16"/>
        <v>0</v>
      </c>
      <c r="V177" s="2">
        <f t="shared" si="17"/>
        <v>0</v>
      </c>
      <c r="W177" s="41"/>
      <c r="Y177" s="18"/>
    </row>
    <row r="178" spans="5:25" x14ac:dyDescent="0.25">
      <c r="E178" s="19"/>
      <c r="F178" s="19"/>
      <c r="G178" s="19"/>
      <c r="I178" s="58">
        <f t="shared" si="13"/>
        <v>1900</v>
      </c>
      <c r="K178" s="20"/>
      <c r="T178" s="41">
        <f t="shared" si="15"/>
        <v>0</v>
      </c>
      <c r="U178" s="2">
        <f t="shared" si="16"/>
        <v>0</v>
      </c>
      <c r="V178" s="2">
        <f t="shared" si="17"/>
        <v>0</v>
      </c>
      <c r="W178" s="41"/>
      <c r="Y178" s="18"/>
    </row>
    <row r="179" spans="5:25" x14ac:dyDescent="0.25">
      <c r="E179" s="19"/>
      <c r="F179" s="19"/>
      <c r="G179" s="19"/>
      <c r="I179" s="58">
        <f t="shared" si="13"/>
        <v>1900</v>
      </c>
      <c r="K179" s="20"/>
      <c r="T179" s="41">
        <f t="shared" si="15"/>
        <v>0</v>
      </c>
      <c r="U179" s="2">
        <f t="shared" si="16"/>
        <v>0</v>
      </c>
      <c r="V179" s="2">
        <f t="shared" si="17"/>
        <v>0</v>
      </c>
      <c r="W179" s="41"/>
      <c r="Y179" s="18"/>
    </row>
    <row r="180" spans="5:25" x14ac:dyDescent="0.25">
      <c r="E180" s="19"/>
      <c r="F180" s="19"/>
      <c r="G180" s="19"/>
      <c r="I180" s="58">
        <f t="shared" si="13"/>
        <v>1900</v>
      </c>
      <c r="K180" s="20"/>
      <c r="T180" s="41">
        <f t="shared" si="15"/>
        <v>0</v>
      </c>
      <c r="U180" s="2">
        <f t="shared" si="16"/>
        <v>0</v>
      </c>
      <c r="V180" s="2">
        <f t="shared" si="17"/>
        <v>0</v>
      </c>
      <c r="W180" s="41"/>
      <c r="Y180" s="18"/>
    </row>
    <row r="181" spans="5:25" x14ac:dyDescent="0.25">
      <c r="E181" s="19"/>
      <c r="F181" s="19"/>
      <c r="G181" s="19"/>
      <c r="I181" s="58">
        <f t="shared" si="13"/>
        <v>1900</v>
      </c>
      <c r="K181" s="20"/>
      <c r="T181" s="41">
        <f t="shared" si="15"/>
        <v>0</v>
      </c>
      <c r="U181" s="2">
        <f t="shared" si="16"/>
        <v>0</v>
      </c>
      <c r="V181" s="2">
        <f t="shared" si="17"/>
        <v>0</v>
      </c>
      <c r="W181" s="41"/>
      <c r="Y181" s="18"/>
    </row>
    <row r="182" spans="5:25" x14ac:dyDescent="0.25">
      <c r="I182" s="58">
        <f t="shared" si="13"/>
        <v>1900</v>
      </c>
      <c r="T182" s="41">
        <f t="shared" si="15"/>
        <v>0</v>
      </c>
      <c r="U182" s="2">
        <f t="shared" si="16"/>
        <v>0</v>
      </c>
      <c r="V182" s="2">
        <f t="shared" si="17"/>
        <v>0</v>
      </c>
      <c r="W182" s="41"/>
    </row>
    <row r="183" spans="5:25" x14ac:dyDescent="0.25">
      <c r="I183" s="58">
        <f t="shared" ref="I183:I214" si="19">YEAR(H183)</f>
        <v>1900</v>
      </c>
      <c r="T183" s="41">
        <f t="shared" si="15"/>
        <v>0</v>
      </c>
      <c r="U183" s="2">
        <f t="shared" si="16"/>
        <v>0</v>
      </c>
      <c r="V183" s="2">
        <f t="shared" si="17"/>
        <v>0</v>
      </c>
      <c r="W183" s="41"/>
    </row>
    <row r="184" spans="5:25" x14ac:dyDescent="0.25">
      <c r="I184" s="58">
        <f t="shared" si="19"/>
        <v>1900</v>
      </c>
      <c r="T184" s="41">
        <f t="shared" si="15"/>
        <v>0</v>
      </c>
      <c r="U184" s="2">
        <f t="shared" si="16"/>
        <v>0</v>
      </c>
      <c r="V184" s="2">
        <f t="shared" si="17"/>
        <v>0</v>
      </c>
      <c r="W184" s="41"/>
    </row>
    <row r="185" spans="5:25" x14ac:dyDescent="0.25">
      <c r="I185" s="58">
        <f t="shared" si="19"/>
        <v>1900</v>
      </c>
      <c r="T185" s="41">
        <f t="shared" si="15"/>
        <v>0</v>
      </c>
      <c r="U185" s="2">
        <f t="shared" si="16"/>
        <v>0</v>
      </c>
      <c r="V185" s="2">
        <f t="shared" si="17"/>
        <v>0</v>
      </c>
      <c r="W185" s="41"/>
    </row>
    <row r="186" spans="5:25" x14ac:dyDescent="0.25">
      <c r="I186" s="58">
        <f t="shared" si="19"/>
        <v>1900</v>
      </c>
      <c r="T186" s="41">
        <f t="shared" si="15"/>
        <v>0</v>
      </c>
      <c r="U186" s="2">
        <f t="shared" si="16"/>
        <v>0</v>
      </c>
      <c r="V186" s="2">
        <f t="shared" si="17"/>
        <v>0</v>
      </c>
      <c r="W186" s="41"/>
    </row>
    <row r="187" spans="5:25" x14ac:dyDescent="0.25">
      <c r="I187" s="58">
        <f t="shared" si="19"/>
        <v>1900</v>
      </c>
      <c r="T187" s="41">
        <f t="shared" si="15"/>
        <v>0</v>
      </c>
      <c r="U187" s="2">
        <f t="shared" si="16"/>
        <v>0</v>
      </c>
      <c r="V187" s="2">
        <f t="shared" si="17"/>
        <v>0</v>
      </c>
      <c r="W187" s="41"/>
    </row>
    <row r="188" spans="5:25" x14ac:dyDescent="0.25">
      <c r="I188" s="58">
        <f t="shared" si="19"/>
        <v>1900</v>
      </c>
      <c r="T188" s="41">
        <f t="shared" si="15"/>
        <v>0</v>
      </c>
      <c r="U188" s="2">
        <f t="shared" si="16"/>
        <v>0</v>
      </c>
      <c r="V188" s="2">
        <f t="shared" si="17"/>
        <v>0</v>
      </c>
      <c r="W188" s="41"/>
    </row>
    <row r="189" spans="5:25" x14ac:dyDescent="0.25">
      <c r="I189" s="58">
        <f t="shared" si="19"/>
        <v>1900</v>
      </c>
      <c r="T189" s="41">
        <f t="shared" si="15"/>
        <v>0</v>
      </c>
      <c r="U189" s="2">
        <f t="shared" si="16"/>
        <v>0</v>
      </c>
      <c r="V189" s="2">
        <f t="shared" si="17"/>
        <v>0</v>
      </c>
      <c r="W189" s="41"/>
    </row>
    <row r="190" spans="5:25" x14ac:dyDescent="0.25">
      <c r="I190" s="58">
        <f t="shared" si="19"/>
        <v>1900</v>
      </c>
      <c r="T190" s="41">
        <f t="shared" si="15"/>
        <v>0</v>
      </c>
      <c r="U190" s="2">
        <f t="shared" si="16"/>
        <v>0</v>
      </c>
      <c r="V190" s="2">
        <f t="shared" si="17"/>
        <v>0</v>
      </c>
      <c r="W190" s="41"/>
    </row>
    <row r="191" spans="5:25" x14ac:dyDescent="0.25">
      <c r="I191" s="58">
        <f t="shared" si="19"/>
        <v>1900</v>
      </c>
      <c r="T191" s="41">
        <f t="shared" si="15"/>
        <v>0</v>
      </c>
      <c r="U191" s="2">
        <f t="shared" si="16"/>
        <v>0</v>
      </c>
      <c r="V191" s="2">
        <f t="shared" si="17"/>
        <v>0</v>
      </c>
      <c r="W191" s="41"/>
    </row>
    <row r="192" spans="5:25" x14ac:dyDescent="0.25">
      <c r="I192" s="58">
        <f t="shared" si="19"/>
        <v>1900</v>
      </c>
      <c r="T192" s="41">
        <f t="shared" si="15"/>
        <v>0</v>
      </c>
      <c r="U192" s="2">
        <f t="shared" si="16"/>
        <v>0</v>
      </c>
      <c r="V192" s="2">
        <f t="shared" si="17"/>
        <v>0</v>
      </c>
      <c r="W192" s="41"/>
    </row>
    <row r="193" spans="9:23" x14ac:dyDescent="0.25">
      <c r="I193" s="58">
        <f t="shared" si="19"/>
        <v>1900</v>
      </c>
      <c r="T193" s="41">
        <f t="shared" si="15"/>
        <v>0</v>
      </c>
      <c r="U193" s="2">
        <f t="shared" si="16"/>
        <v>0</v>
      </c>
      <c r="V193" s="2">
        <f t="shared" si="17"/>
        <v>0</v>
      </c>
      <c r="W193" s="41"/>
    </row>
    <row r="194" spans="9:23" x14ac:dyDescent="0.25">
      <c r="I194" s="58">
        <f t="shared" si="19"/>
        <v>1900</v>
      </c>
      <c r="T194" s="41">
        <f t="shared" si="15"/>
        <v>0</v>
      </c>
      <c r="U194" s="2">
        <f t="shared" si="16"/>
        <v>0</v>
      </c>
      <c r="V194" s="2">
        <f t="shared" si="17"/>
        <v>0</v>
      </c>
      <c r="W194" s="41"/>
    </row>
    <row r="195" spans="9:23" x14ac:dyDescent="0.25">
      <c r="I195" s="58">
        <f t="shared" si="19"/>
        <v>1900</v>
      </c>
      <c r="T195" s="41">
        <f t="shared" si="15"/>
        <v>0</v>
      </c>
      <c r="U195" s="2">
        <f t="shared" si="16"/>
        <v>0</v>
      </c>
      <c r="V195" s="2">
        <f t="shared" si="17"/>
        <v>0</v>
      </c>
      <c r="W195" s="41"/>
    </row>
    <row r="196" spans="9:23" x14ac:dyDescent="0.25">
      <c r="I196" s="58">
        <f t="shared" si="19"/>
        <v>1900</v>
      </c>
      <c r="T196" s="41">
        <f t="shared" si="15"/>
        <v>0</v>
      </c>
      <c r="U196" s="2">
        <f t="shared" si="16"/>
        <v>0</v>
      </c>
      <c r="V196" s="2">
        <f t="shared" si="17"/>
        <v>0</v>
      </c>
      <c r="W196" s="41"/>
    </row>
    <row r="197" spans="9:23" x14ac:dyDescent="0.25">
      <c r="I197" s="58">
        <f t="shared" si="19"/>
        <v>1900</v>
      </c>
      <c r="T197" s="41">
        <f t="shared" si="15"/>
        <v>0</v>
      </c>
      <c r="U197" s="2">
        <f t="shared" si="16"/>
        <v>0</v>
      </c>
      <c r="V197" s="2">
        <f t="shared" si="17"/>
        <v>0</v>
      </c>
      <c r="W197" s="41"/>
    </row>
    <row r="198" spans="9:23" x14ac:dyDescent="0.25">
      <c r="I198" s="58">
        <f t="shared" si="19"/>
        <v>1900</v>
      </c>
      <c r="T198" s="41">
        <f t="shared" si="15"/>
        <v>0</v>
      </c>
      <c r="U198" s="2">
        <f t="shared" si="16"/>
        <v>0</v>
      </c>
      <c r="V198" s="2">
        <f t="shared" si="17"/>
        <v>0</v>
      </c>
      <c r="W198" s="41"/>
    </row>
    <row r="199" spans="9:23" x14ac:dyDescent="0.25">
      <c r="I199" s="58">
        <f t="shared" si="19"/>
        <v>1900</v>
      </c>
      <c r="T199" s="41">
        <f t="shared" si="15"/>
        <v>0</v>
      </c>
      <c r="U199" s="2">
        <f t="shared" si="16"/>
        <v>0</v>
      </c>
      <c r="V199" s="2">
        <f t="shared" si="17"/>
        <v>0</v>
      </c>
      <c r="W199" s="41"/>
    </row>
    <row r="200" spans="9:23" x14ac:dyDescent="0.25">
      <c r="I200" s="58">
        <f t="shared" si="19"/>
        <v>1900</v>
      </c>
      <c r="T200" s="41">
        <f t="shared" si="15"/>
        <v>0</v>
      </c>
      <c r="U200" s="2">
        <f t="shared" si="16"/>
        <v>0</v>
      </c>
      <c r="V200" s="2">
        <f t="shared" si="17"/>
        <v>0</v>
      </c>
      <c r="W200" s="41"/>
    </row>
    <row r="201" spans="9:23" x14ac:dyDescent="0.25">
      <c r="I201" s="58">
        <f t="shared" si="19"/>
        <v>1900</v>
      </c>
      <c r="T201" s="41">
        <f t="shared" si="15"/>
        <v>0</v>
      </c>
      <c r="U201" s="2">
        <f t="shared" si="16"/>
        <v>0</v>
      </c>
      <c r="V201" s="2">
        <f t="shared" si="17"/>
        <v>0</v>
      </c>
      <c r="W201" s="41"/>
    </row>
    <row r="202" spans="9:23" x14ac:dyDescent="0.25">
      <c r="I202" s="58">
        <f t="shared" si="19"/>
        <v>1900</v>
      </c>
      <c r="T202" s="41">
        <f t="shared" si="15"/>
        <v>0</v>
      </c>
      <c r="U202" s="2">
        <f t="shared" si="16"/>
        <v>0</v>
      </c>
      <c r="V202" s="2">
        <f t="shared" si="17"/>
        <v>0</v>
      </c>
      <c r="W202" s="41"/>
    </row>
    <row r="203" spans="9:23" x14ac:dyDescent="0.25">
      <c r="I203" s="58">
        <f t="shared" si="19"/>
        <v>1900</v>
      </c>
      <c r="T203" s="41">
        <f t="shared" si="15"/>
        <v>0</v>
      </c>
      <c r="U203" s="2">
        <f t="shared" si="16"/>
        <v>0</v>
      </c>
      <c r="V203" s="2">
        <f t="shared" si="17"/>
        <v>0</v>
      </c>
      <c r="W203" s="41"/>
    </row>
    <row r="204" spans="9:23" x14ac:dyDescent="0.25">
      <c r="I204" s="58">
        <f t="shared" si="19"/>
        <v>1900</v>
      </c>
      <c r="T204" s="41">
        <f t="shared" si="15"/>
        <v>0</v>
      </c>
      <c r="U204" s="2">
        <f t="shared" si="16"/>
        <v>0</v>
      </c>
      <c r="V204" s="2">
        <f t="shared" si="17"/>
        <v>0</v>
      </c>
      <c r="W204" s="41"/>
    </row>
    <row r="205" spans="9:23" x14ac:dyDescent="0.25">
      <c r="I205" s="58">
        <f t="shared" si="19"/>
        <v>1900</v>
      </c>
      <c r="T205" s="41">
        <f t="shared" si="15"/>
        <v>0</v>
      </c>
      <c r="U205" s="2">
        <f t="shared" si="16"/>
        <v>0</v>
      </c>
      <c r="V205" s="2">
        <f t="shared" si="17"/>
        <v>0</v>
      </c>
      <c r="W205" s="41"/>
    </row>
    <row r="206" spans="9:23" x14ac:dyDescent="0.25">
      <c r="I206" s="58">
        <f t="shared" si="19"/>
        <v>1900</v>
      </c>
      <c r="T206" s="41">
        <f t="shared" si="15"/>
        <v>0</v>
      </c>
      <c r="U206" s="2">
        <f t="shared" si="16"/>
        <v>0</v>
      </c>
      <c r="V206" s="2">
        <f t="shared" si="17"/>
        <v>0</v>
      </c>
      <c r="W206" s="41"/>
    </row>
    <row r="207" spans="9:23" x14ac:dyDescent="0.25">
      <c r="I207" s="58">
        <f t="shared" si="19"/>
        <v>1900</v>
      </c>
      <c r="T207" s="41">
        <f t="shared" si="15"/>
        <v>0</v>
      </c>
      <c r="U207" s="2">
        <f t="shared" si="16"/>
        <v>0</v>
      </c>
      <c r="V207" s="2">
        <f t="shared" si="17"/>
        <v>0</v>
      </c>
      <c r="W207" s="41"/>
    </row>
    <row r="208" spans="9:23" x14ac:dyDescent="0.25">
      <c r="I208" s="58">
        <f t="shared" si="19"/>
        <v>1900</v>
      </c>
      <c r="T208" s="41">
        <f t="shared" si="15"/>
        <v>0</v>
      </c>
      <c r="U208" s="2">
        <f t="shared" si="16"/>
        <v>0</v>
      </c>
      <c r="V208" s="2">
        <f t="shared" si="17"/>
        <v>0</v>
      </c>
      <c r="W208" s="41"/>
    </row>
    <row r="209" spans="9:23" x14ac:dyDescent="0.25">
      <c r="I209" s="58">
        <f t="shared" si="19"/>
        <v>1900</v>
      </c>
      <c r="T209" s="41">
        <f t="shared" si="15"/>
        <v>0</v>
      </c>
      <c r="U209" s="2">
        <f t="shared" si="16"/>
        <v>0</v>
      </c>
      <c r="V209" s="2">
        <f t="shared" si="17"/>
        <v>0</v>
      </c>
      <c r="W209" s="41"/>
    </row>
    <row r="210" spans="9:23" x14ac:dyDescent="0.25">
      <c r="I210" s="58">
        <f t="shared" si="19"/>
        <v>1900</v>
      </c>
      <c r="T210" s="41">
        <f t="shared" si="15"/>
        <v>0</v>
      </c>
      <c r="U210" s="2">
        <f t="shared" si="16"/>
        <v>0</v>
      </c>
      <c r="V210" s="2">
        <f t="shared" si="17"/>
        <v>0</v>
      </c>
      <c r="W210" s="41"/>
    </row>
    <row r="211" spans="9:23" x14ac:dyDescent="0.25">
      <c r="I211" s="58">
        <f t="shared" si="19"/>
        <v>1900</v>
      </c>
      <c r="T211" s="41">
        <f t="shared" si="15"/>
        <v>0</v>
      </c>
      <c r="U211" s="2">
        <f t="shared" si="16"/>
        <v>0</v>
      </c>
      <c r="V211" s="2">
        <f t="shared" si="17"/>
        <v>0</v>
      </c>
      <c r="W211" s="41"/>
    </row>
    <row r="212" spans="9:23" x14ac:dyDescent="0.25">
      <c r="I212" s="58">
        <f t="shared" si="19"/>
        <v>1900</v>
      </c>
      <c r="T212" s="41">
        <f t="shared" si="15"/>
        <v>0</v>
      </c>
      <c r="U212" s="2">
        <f t="shared" si="16"/>
        <v>0</v>
      </c>
      <c r="V212" s="2">
        <f t="shared" si="17"/>
        <v>0</v>
      </c>
      <c r="W212" s="41"/>
    </row>
    <row r="213" spans="9:23" x14ac:dyDescent="0.25">
      <c r="I213" s="58">
        <f t="shared" si="19"/>
        <v>1900</v>
      </c>
      <c r="T213" s="41">
        <f t="shared" si="15"/>
        <v>0</v>
      </c>
      <c r="U213" s="2">
        <f t="shared" si="16"/>
        <v>0</v>
      </c>
      <c r="V213" s="2">
        <f t="shared" si="17"/>
        <v>0</v>
      </c>
      <c r="W213" s="41"/>
    </row>
    <row r="214" spans="9:23" x14ac:dyDescent="0.25">
      <c r="I214" s="58">
        <f t="shared" si="19"/>
        <v>1900</v>
      </c>
      <c r="T214" s="41">
        <f t="shared" si="15"/>
        <v>0</v>
      </c>
      <c r="U214" s="2">
        <f t="shared" si="16"/>
        <v>0</v>
      </c>
      <c r="V214" s="2">
        <f t="shared" si="17"/>
        <v>0</v>
      </c>
      <c r="W214" s="41"/>
    </row>
    <row r="215" spans="9:23" x14ac:dyDescent="0.25">
      <c r="I215" s="58">
        <f t="shared" ref="I215:I246" si="20">YEAR(H215)</f>
        <v>1900</v>
      </c>
      <c r="T215" s="41">
        <f t="shared" si="15"/>
        <v>0</v>
      </c>
      <c r="U215" s="2">
        <f t="shared" si="16"/>
        <v>0</v>
      </c>
      <c r="V215" s="2">
        <f t="shared" si="17"/>
        <v>0</v>
      </c>
      <c r="W215" s="41"/>
    </row>
    <row r="216" spans="9:23" x14ac:dyDescent="0.25">
      <c r="I216" s="58">
        <f t="shared" si="20"/>
        <v>1900</v>
      </c>
      <c r="T216" s="41">
        <f t="shared" ref="T216:T279" si="21">Q216-M216</f>
        <v>0</v>
      </c>
      <c r="U216" s="2">
        <f t="shared" ref="U216:U279" si="22">R216-N216</f>
        <v>0</v>
      </c>
      <c r="V216" s="2">
        <f t="shared" ref="V216:V279" si="23">S216-O216</f>
        <v>0</v>
      </c>
      <c r="W216" s="41"/>
    </row>
    <row r="217" spans="9:23" x14ac:dyDescent="0.25">
      <c r="I217" s="58">
        <f t="shared" si="20"/>
        <v>1900</v>
      </c>
      <c r="T217" s="41">
        <f t="shared" si="21"/>
        <v>0</v>
      </c>
      <c r="U217" s="2">
        <f t="shared" si="22"/>
        <v>0</v>
      </c>
      <c r="V217" s="2">
        <f t="shared" si="23"/>
        <v>0</v>
      </c>
      <c r="W217" s="41"/>
    </row>
    <row r="218" spans="9:23" x14ac:dyDescent="0.25">
      <c r="I218" s="58">
        <f t="shared" si="20"/>
        <v>1900</v>
      </c>
      <c r="T218" s="41">
        <f t="shared" si="21"/>
        <v>0</v>
      </c>
      <c r="U218" s="2">
        <f t="shared" si="22"/>
        <v>0</v>
      </c>
      <c r="V218" s="2">
        <f t="shared" si="23"/>
        <v>0</v>
      </c>
      <c r="W218" s="41"/>
    </row>
    <row r="219" spans="9:23" x14ac:dyDescent="0.25">
      <c r="I219" s="58">
        <f t="shared" si="20"/>
        <v>1900</v>
      </c>
      <c r="T219" s="41">
        <f t="shared" si="21"/>
        <v>0</v>
      </c>
      <c r="U219" s="2">
        <f t="shared" si="22"/>
        <v>0</v>
      </c>
      <c r="V219" s="2">
        <f t="shared" si="23"/>
        <v>0</v>
      </c>
      <c r="W219" s="41"/>
    </row>
    <row r="220" spans="9:23" x14ac:dyDescent="0.25">
      <c r="I220" s="58">
        <f t="shared" si="20"/>
        <v>1900</v>
      </c>
      <c r="T220" s="41">
        <f t="shared" si="21"/>
        <v>0</v>
      </c>
      <c r="U220" s="2">
        <f t="shared" si="22"/>
        <v>0</v>
      </c>
      <c r="V220" s="2">
        <f t="shared" si="23"/>
        <v>0</v>
      </c>
      <c r="W220" s="41"/>
    </row>
    <row r="221" spans="9:23" x14ac:dyDescent="0.25">
      <c r="I221" s="58">
        <f t="shared" si="20"/>
        <v>1900</v>
      </c>
      <c r="T221" s="41">
        <f t="shared" si="21"/>
        <v>0</v>
      </c>
      <c r="U221" s="2">
        <f t="shared" si="22"/>
        <v>0</v>
      </c>
      <c r="V221" s="2">
        <f t="shared" si="23"/>
        <v>0</v>
      </c>
      <c r="W221" s="41"/>
    </row>
    <row r="222" spans="9:23" x14ac:dyDescent="0.25">
      <c r="I222" s="58">
        <f t="shared" si="20"/>
        <v>1900</v>
      </c>
      <c r="T222" s="41">
        <f t="shared" si="21"/>
        <v>0</v>
      </c>
      <c r="U222" s="2">
        <f t="shared" si="22"/>
        <v>0</v>
      </c>
      <c r="V222" s="2">
        <f t="shared" si="23"/>
        <v>0</v>
      </c>
      <c r="W222" s="41"/>
    </row>
    <row r="223" spans="9:23" x14ac:dyDescent="0.25">
      <c r="I223" s="58">
        <f t="shared" si="20"/>
        <v>1900</v>
      </c>
      <c r="T223" s="41">
        <f t="shared" si="21"/>
        <v>0</v>
      </c>
      <c r="U223" s="2">
        <f t="shared" si="22"/>
        <v>0</v>
      </c>
      <c r="V223" s="2">
        <f t="shared" si="23"/>
        <v>0</v>
      </c>
      <c r="W223" s="41"/>
    </row>
    <row r="224" spans="9:23" x14ac:dyDescent="0.25">
      <c r="I224" s="58">
        <f t="shared" si="20"/>
        <v>1900</v>
      </c>
      <c r="T224" s="41">
        <f t="shared" si="21"/>
        <v>0</v>
      </c>
      <c r="U224" s="2">
        <f t="shared" si="22"/>
        <v>0</v>
      </c>
      <c r="V224" s="2">
        <f t="shared" si="23"/>
        <v>0</v>
      </c>
      <c r="W224" s="41"/>
    </row>
    <row r="225" spans="9:23" x14ac:dyDescent="0.25">
      <c r="I225" s="58">
        <f t="shared" si="20"/>
        <v>1900</v>
      </c>
      <c r="T225" s="41">
        <f t="shared" si="21"/>
        <v>0</v>
      </c>
      <c r="U225" s="2">
        <f t="shared" si="22"/>
        <v>0</v>
      </c>
      <c r="V225" s="2">
        <f t="shared" si="23"/>
        <v>0</v>
      </c>
      <c r="W225" s="41"/>
    </row>
    <row r="226" spans="9:23" x14ac:dyDescent="0.25">
      <c r="I226" s="58">
        <f t="shared" si="20"/>
        <v>1900</v>
      </c>
      <c r="T226" s="41">
        <f t="shared" si="21"/>
        <v>0</v>
      </c>
      <c r="U226" s="2">
        <f t="shared" si="22"/>
        <v>0</v>
      </c>
      <c r="V226" s="2">
        <f t="shared" si="23"/>
        <v>0</v>
      </c>
      <c r="W226" s="41"/>
    </row>
    <row r="227" spans="9:23" x14ac:dyDescent="0.25">
      <c r="I227" s="58">
        <f t="shared" si="20"/>
        <v>1900</v>
      </c>
      <c r="T227" s="41">
        <f t="shared" si="21"/>
        <v>0</v>
      </c>
      <c r="U227" s="2">
        <f t="shared" si="22"/>
        <v>0</v>
      </c>
      <c r="V227" s="2">
        <f t="shared" si="23"/>
        <v>0</v>
      </c>
      <c r="W227" s="41"/>
    </row>
    <row r="228" spans="9:23" x14ac:dyDescent="0.25">
      <c r="I228" s="58">
        <f t="shared" si="20"/>
        <v>1900</v>
      </c>
      <c r="T228" s="41">
        <f t="shared" si="21"/>
        <v>0</v>
      </c>
      <c r="U228" s="2">
        <f t="shared" si="22"/>
        <v>0</v>
      </c>
      <c r="V228" s="2">
        <f t="shared" si="23"/>
        <v>0</v>
      </c>
      <c r="W228" s="41"/>
    </row>
    <row r="229" spans="9:23" x14ac:dyDescent="0.25">
      <c r="I229" s="58">
        <f t="shared" si="20"/>
        <v>1900</v>
      </c>
      <c r="T229" s="41">
        <f t="shared" si="21"/>
        <v>0</v>
      </c>
      <c r="U229" s="2">
        <f t="shared" si="22"/>
        <v>0</v>
      </c>
      <c r="V229" s="2">
        <f t="shared" si="23"/>
        <v>0</v>
      </c>
      <c r="W229" s="41"/>
    </row>
    <row r="230" spans="9:23" x14ac:dyDescent="0.25">
      <c r="I230" s="58">
        <f t="shared" si="20"/>
        <v>1900</v>
      </c>
      <c r="T230" s="41">
        <f t="shared" si="21"/>
        <v>0</v>
      </c>
      <c r="U230" s="2">
        <f t="shared" si="22"/>
        <v>0</v>
      </c>
      <c r="V230" s="2">
        <f t="shared" si="23"/>
        <v>0</v>
      </c>
      <c r="W230" s="41"/>
    </row>
    <row r="231" spans="9:23" x14ac:dyDescent="0.25">
      <c r="I231" s="58">
        <f t="shared" si="20"/>
        <v>1900</v>
      </c>
      <c r="T231" s="41">
        <f t="shared" si="21"/>
        <v>0</v>
      </c>
      <c r="U231" s="2">
        <f t="shared" si="22"/>
        <v>0</v>
      </c>
      <c r="V231" s="2">
        <f t="shared" si="23"/>
        <v>0</v>
      </c>
      <c r="W231" s="41"/>
    </row>
    <row r="232" spans="9:23" x14ac:dyDescent="0.25">
      <c r="I232" s="58">
        <f t="shared" si="20"/>
        <v>1900</v>
      </c>
      <c r="T232" s="41">
        <f t="shared" si="21"/>
        <v>0</v>
      </c>
      <c r="U232" s="2">
        <f t="shared" si="22"/>
        <v>0</v>
      </c>
      <c r="V232" s="2">
        <f t="shared" si="23"/>
        <v>0</v>
      </c>
      <c r="W232" s="41"/>
    </row>
    <row r="233" spans="9:23" x14ac:dyDescent="0.25">
      <c r="I233" s="58">
        <f t="shared" si="20"/>
        <v>1900</v>
      </c>
      <c r="T233" s="41">
        <f t="shared" si="21"/>
        <v>0</v>
      </c>
      <c r="U233" s="2">
        <f t="shared" si="22"/>
        <v>0</v>
      </c>
      <c r="V233" s="2">
        <f t="shared" si="23"/>
        <v>0</v>
      </c>
      <c r="W233" s="41"/>
    </row>
    <row r="234" spans="9:23" x14ac:dyDescent="0.25">
      <c r="I234" s="58">
        <f t="shared" si="20"/>
        <v>1900</v>
      </c>
      <c r="T234" s="41">
        <f t="shared" si="21"/>
        <v>0</v>
      </c>
      <c r="U234" s="2">
        <f t="shared" si="22"/>
        <v>0</v>
      </c>
      <c r="V234" s="2">
        <f t="shared" si="23"/>
        <v>0</v>
      </c>
      <c r="W234" s="41"/>
    </row>
    <row r="235" spans="9:23" x14ac:dyDescent="0.25">
      <c r="I235" s="58">
        <f t="shared" si="20"/>
        <v>1900</v>
      </c>
      <c r="T235" s="41">
        <f t="shared" si="21"/>
        <v>0</v>
      </c>
      <c r="U235" s="2">
        <f t="shared" si="22"/>
        <v>0</v>
      </c>
      <c r="V235" s="2">
        <f t="shared" si="23"/>
        <v>0</v>
      </c>
      <c r="W235" s="41"/>
    </row>
    <row r="236" spans="9:23" x14ac:dyDescent="0.25">
      <c r="I236" s="58">
        <f t="shared" si="20"/>
        <v>1900</v>
      </c>
      <c r="T236" s="41">
        <f t="shared" si="21"/>
        <v>0</v>
      </c>
      <c r="U236" s="2">
        <f t="shared" si="22"/>
        <v>0</v>
      </c>
      <c r="V236" s="2">
        <f t="shared" si="23"/>
        <v>0</v>
      </c>
      <c r="W236" s="41"/>
    </row>
    <row r="237" spans="9:23" x14ac:dyDescent="0.25">
      <c r="I237" s="58">
        <f t="shared" si="20"/>
        <v>1900</v>
      </c>
      <c r="T237" s="41">
        <f t="shared" si="21"/>
        <v>0</v>
      </c>
      <c r="U237" s="2">
        <f t="shared" si="22"/>
        <v>0</v>
      </c>
      <c r="V237" s="2">
        <f t="shared" si="23"/>
        <v>0</v>
      </c>
      <c r="W237" s="41"/>
    </row>
    <row r="238" spans="9:23" x14ac:dyDescent="0.25">
      <c r="I238" s="58">
        <f t="shared" si="20"/>
        <v>1900</v>
      </c>
      <c r="T238" s="41">
        <f t="shared" si="21"/>
        <v>0</v>
      </c>
      <c r="U238" s="2">
        <f t="shared" si="22"/>
        <v>0</v>
      </c>
      <c r="V238" s="2">
        <f t="shared" si="23"/>
        <v>0</v>
      </c>
      <c r="W238" s="41"/>
    </row>
    <row r="239" spans="9:23" x14ac:dyDescent="0.25">
      <c r="I239" s="58">
        <f t="shared" si="20"/>
        <v>1900</v>
      </c>
      <c r="T239" s="41">
        <f t="shared" si="21"/>
        <v>0</v>
      </c>
      <c r="U239" s="2">
        <f t="shared" si="22"/>
        <v>0</v>
      </c>
      <c r="V239" s="2">
        <f t="shared" si="23"/>
        <v>0</v>
      </c>
      <c r="W239" s="41"/>
    </row>
    <row r="240" spans="9:23" x14ac:dyDescent="0.25">
      <c r="I240" s="58">
        <f t="shared" si="20"/>
        <v>1900</v>
      </c>
      <c r="T240" s="41">
        <f t="shared" si="21"/>
        <v>0</v>
      </c>
      <c r="U240" s="2">
        <f t="shared" si="22"/>
        <v>0</v>
      </c>
      <c r="V240" s="2">
        <f t="shared" si="23"/>
        <v>0</v>
      </c>
      <c r="W240" s="41"/>
    </row>
    <row r="241" spans="9:23" x14ac:dyDescent="0.25">
      <c r="I241" s="58">
        <f t="shared" si="20"/>
        <v>1900</v>
      </c>
      <c r="T241" s="41">
        <f t="shared" si="21"/>
        <v>0</v>
      </c>
      <c r="U241" s="2">
        <f t="shared" si="22"/>
        <v>0</v>
      </c>
      <c r="V241" s="2">
        <f t="shared" si="23"/>
        <v>0</v>
      </c>
      <c r="W241" s="41"/>
    </row>
    <row r="242" spans="9:23" x14ac:dyDescent="0.25">
      <c r="I242" s="58">
        <f t="shared" si="20"/>
        <v>1900</v>
      </c>
      <c r="T242" s="41">
        <f t="shared" si="21"/>
        <v>0</v>
      </c>
      <c r="U242" s="2">
        <f t="shared" si="22"/>
        <v>0</v>
      </c>
      <c r="V242" s="2">
        <f t="shared" si="23"/>
        <v>0</v>
      </c>
      <c r="W242" s="41"/>
    </row>
    <row r="243" spans="9:23" x14ac:dyDescent="0.25">
      <c r="I243" s="58">
        <f t="shared" si="20"/>
        <v>1900</v>
      </c>
      <c r="T243" s="41">
        <f t="shared" si="21"/>
        <v>0</v>
      </c>
      <c r="U243" s="2">
        <f t="shared" si="22"/>
        <v>0</v>
      </c>
      <c r="V243" s="2">
        <f t="shared" si="23"/>
        <v>0</v>
      </c>
      <c r="W243" s="41"/>
    </row>
    <row r="244" spans="9:23" x14ac:dyDescent="0.25">
      <c r="I244" s="58">
        <f t="shared" si="20"/>
        <v>1900</v>
      </c>
      <c r="T244" s="41">
        <f t="shared" si="21"/>
        <v>0</v>
      </c>
      <c r="U244" s="2">
        <f t="shared" si="22"/>
        <v>0</v>
      </c>
      <c r="V244" s="2">
        <f t="shared" si="23"/>
        <v>0</v>
      </c>
      <c r="W244" s="41"/>
    </row>
    <row r="245" spans="9:23" x14ac:dyDescent="0.25">
      <c r="I245" s="58">
        <f t="shared" si="20"/>
        <v>1900</v>
      </c>
      <c r="T245" s="41">
        <f t="shared" si="21"/>
        <v>0</v>
      </c>
      <c r="U245" s="2">
        <f t="shared" si="22"/>
        <v>0</v>
      </c>
      <c r="V245" s="2">
        <f t="shared" si="23"/>
        <v>0</v>
      </c>
      <c r="W245" s="41"/>
    </row>
    <row r="246" spans="9:23" x14ac:dyDescent="0.25">
      <c r="I246" s="58">
        <f t="shared" si="20"/>
        <v>1900</v>
      </c>
      <c r="T246" s="41">
        <f t="shared" si="21"/>
        <v>0</v>
      </c>
      <c r="U246" s="2">
        <f t="shared" si="22"/>
        <v>0</v>
      </c>
      <c r="V246" s="2">
        <f t="shared" si="23"/>
        <v>0</v>
      </c>
      <c r="W246" s="41"/>
    </row>
    <row r="247" spans="9:23" x14ac:dyDescent="0.25">
      <c r="I247" s="58">
        <f t="shared" ref="I247:I278" si="24">YEAR(H247)</f>
        <v>1900</v>
      </c>
      <c r="T247" s="41">
        <f t="shared" si="21"/>
        <v>0</v>
      </c>
      <c r="U247" s="2">
        <f t="shared" si="22"/>
        <v>0</v>
      </c>
      <c r="V247" s="2">
        <f t="shared" si="23"/>
        <v>0</v>
      </c>
      <c r="W247" s="41"/>
    </row>
    <row r="248" spans="9:23" x14ac:dyDescent="0.25">
      <c r="I248" s="58">
        <f t="shared" si="24"/>
        <v>1900</v>
      </c>
      <c r="T248" s="41">
        <f t="shared" si="21"/>
        <v>0</v>
      </c>
      <c r="U248" s="2">
        <f t="shared" si="22"/>
        <v>0</v>
      </c>
      <c r="V248" s="2">
        <f t="shared" si="23"/>
        <v>0</v>
      </c>
      <c r="W248" s="41"/>
    </row>
    <row r="249" spans="9:23" x14ac:dyDescent="0.25">
      <c r="I249" s="58">
        <f t="shared" si="24"/>
        <v>1900</v>
      </c>
      <c r="T249" s="41">
        <f t="shared" si="21"/>
        <v>0</v>
      </c>
      <c r="U249" s="2">
        <f t="shared" si="22"/>
        <v>0</v>
      </c>
      <c r="V249" s="2">
        <f t="shared" si="23"/>
        <v>0</v>
      </c>
      <c r="W249" s="41"/>
    </row>
    <row r="250" spans="9:23" x14ac:dyDescent="0.25">
      <c r="I250" s="58">
        <f t="shared" si="24"/>
        <v>1900</v>
      </c>
      <c r="T250" s="41">
        <f t="shared" si="21"/>
        <v>0</v>
      </c>
      <c r="U250" s="2">
        <f t="shared" si="22"/>
        <v>0</v>
      </c>
      <c r="V250" s="2">
        <f t="shared" si="23"/>
        <v>0</v>
      </c>
      <c r="W250" s="41"/>
    </row>
    <row r="251" spans="9:23" x14ac:dyDescent="0.25">
      <c r="I251" s="58">
        <f t="shared" si="24"/>
        <v>1900</v>
      </c>
      <c r="T251" s="41">
        <f t="shared" si="21"/>
        <v>0</v>
      </c>
      <c r="U251" s="2">
        <f t="shared" si="22"/>
        <v>0</v>
      </c>
      <c r="V251" s="2">
        <f t="shared" si="23"/>
        <v>0</v>
      </c>
      <c r="W251" s="41"/>
    </row>
    <row r="252" spans="9:23" x14ac:dyDescent="0.25">
      <c r="I252" s="58">
        <f t="shared" si="24"/>
        <v>1900</v>
      </c>
      <c r="T252" s="41">
        <f t="shared" si="21"/>
        <v>0</v>
      </c>
      <c r="U252" s="2">
        <f t="shared" si="22"/>
        <v>0</v>
      </c>
      <c r="V252" s="2">
        <f t="shared" si="23"/>
        <v>0</v>
      </c>
      <c r="W252" s="41"/>
    </row>
    <row r="253" spans="9:23" x14ac:dyDescent="0.25">
      <c r="I253" s="58">
        <f t="shared" si="24"/>
        <v>1900</v>
      </c>
      <c r="T253" s="41">
        <f t="shared" si="21"/>
        <v>0</v>
      </c>
      <c r="U253" s="2">
        <f t="shared" si="22"/>
        <v>0</v>
      </c>
      <c r="V253" s="2">
        <f t="shared" si="23"/>
        <v>0</v>
      </c>
      <c r="W253" s="41"/>
    </row>
    <row r="254" spans="9:23" x14ac:dyDescent="0.25">
      <c r="I254" s="58">
        <f t="shared" si="24"/>
        <v>1900</v>
      </c>
      <c r="T254" s="41">
        <f t="shared" si="21"/>
        <v>0</v>
      </c>
      <c r="U254" s="2">
        <f t="shared" si="22"/>
        <v>0</v>
      </c>
      <c r="V254" s="2">
        <f t="shared" si="23"/>
        <v>0</v>
      </c>
      <c r="W254" s="41"/>
    </row>
    <row r="255" spans="9:23" x14ac:dyDescent="0.25">
      <c r="I255" s="58">
        <f t="shared" si="24"/>
        <v>1900</v>
      </c>
      <c r="T255" s="41">
        <f t="shared" si="21"/>
        <v>0</v>
      </c>
      <c r="U255" s="2">
        <f t="shared" si="22"/>
        <v>0</v>
      </c>
      <c r="V255" s="2">
        <f t="shared" si="23"/>
        <v>0</v>
      </c>
      <c r="W255" s="41"/>
    </row>
    <row r="256" spans="9:23" x14ac:dyDescent="0.25">
      <c r="I256" s="58">
        <f t="shared" si="24"/>
        <v>1900</v>
      </c>
      <c r="T256" s="41">
        <f t="shared" si="21"/>
        <v>0</v>
      </c>
      <c r="U256" s="2">
        <f t="shared" si="22"/>
        <v>0</v>
      </c>
      <c r="V256" s="2">
        <f t="shared" si="23"/>
        <v>0</v>
      </c>
      <c r="W256" s="41"/>
    </row>
    <row r="257" spans="9:23" x14ac:dyDescent="0.25">
      <c r="I257" s="58">
        <f t="shared" si="24"/>
        <v>1900</v>
      </c>
      <c r="T257" s="41">
        <f t="shared" si="21"/>
        <v>0</v>
      </c>
      <c r="U257" s="2">
        <f t="shared" si="22"/>
        <v>0</v>
      </c>
      <c r="V257" s="2">
        <f t="shared" si="23"/>
        <v>0</v>
      </c>
      <c r="W257" s="41"/>
    </row>
    <row r="258" spans="9:23" x14ac:dyDescent="0.25">
      <c r="I258" s="58">
        <f t="shared" si="24"/>
        <v>1900</v>
      </c>
      <c r="T258" s="41">
        <f t="shared" si="21"/>
        <v>0</v>
      </c>
      <c r="U258" s="2">
        <f t="shared" si="22"/>
        <v>0</v>
      </c>
      <c r="V258" s="2">
        <f t="shared" si="23"/>
        <v>0</v>
      </c>
      <c r="W258" s="41"/>
    </row>
    <row r="259" spans="9:23" x14ac:dyDescent="0.25">
      <c r="I259" s="58">
        <f t="shared" si="24"/>
        <v>1900</v>
      </c>
      <c r="T259" s="41">
        <f t="shared" si="21"/>
        <v>0</v>
      </c>
      <c r="U259" s="2">
        <f t="shared" si="22"/>
        <v>0</v>
      </c>
      <c r="V259" s="2">
        <f t="shared" si="23"/>
        <v>0</v>
      </c>
      <c r="W259" s="41"/>
    </row>
    <row r="260" spans="9:23" x14ac:dyDescent="0.25">
      <c r="I260" s="58">
        <f t="shared" si="24"/>
        <v>1900</v>
      </c>
      <c r="T260" s="41">
        <f t="shared" si="21"/>
        <v>0</v>
      </c>
      <c r="U260" s="2">
        <f t="shared" si="22"/>
        <v>0</v>
      </c>
      <c r="V260" s="2">
        <f t="shared" si="23"/>
        <v>0</v>
      </c>
      <c r="W260" s="41"/>
    </row>
    <row r="261" spans="9:23" x14ac:dyDescent="0.25">
      <c r="I261" s="58">
        <f t="shared" si="24"/>
        <v>1900</v>
      </c>
      <c r="T261" s="41">
        <f t="shared" si="21"/>
        <v>0</v>
      </c>
      <c r="U261" s="2">
        <f t="shared" si="22"/>
        <v>0</v>
      </c>
      <c r="V261" s="2">
        <f t="shared" si="23"/>
        <v>0</v>
      </c>
      <c r="W261" s="41"/>
    </row>
    <row r="262" spans="9:23" x14ac:dyDescent="0.25">
      <c r="I262" s="58">
        <f t="shared" si="24"/>
        <v>1900</v>
      </c>
      <c r="T262" s="41">
        <f t="shared" si="21"/>
        <v>0</v>
      </c>
      <c r="U262" s="2">
        <f t="shared" si="22"/>
        <v>0</v>
      </c>
      <c r="V262" s="2">
        <f t="shared" si="23"/>
        <v>0</v>
      </c>
      <c r="W262" s="41"/>
    </row>
    <row r="263" spans="9:23" x14ac:dyDescent="0.25">
      <c r="I263" s="58">
        <f t="shared" si="24"/>
        <v>1900</v>
      </c>
      <c r="T263" s="41">
        <f t="shared" si="21"/>
        <v>0</v>
      </c>
      <c r="U263" s="2">
        <f t="shared" si="22"/>
        <v>0</v>
      </c>
      <c r="V263" s="2">
        <f t="shared" si="23"/>
        <v>0</v>
      </c>
      <c r="W263" s="41"/>
    </row>
    <row r="264" spans="9:23" x14ac:dyDescent="0.25">
      <c r="I264" s="58">
        <f t="shared" si="24"/>
        <v>1900</v>
      </c>
      <c r="T264" s="41">
        <f t="shared" si="21"/>
        <v>0</v>
      </c>
      <c r="U264" s="2">
        <f t="shared" si="22"/>
        <v>0</v>
      </c>
      <c r="V264" s="2">
        <f t="shared" si="23"/>
        <v>0</v>
      </c>
      <c r="W264" s="41"/>
    </row>
    <row r="265" spans="9:23" x14ac:dyDescent="0.25">
      <c r="I265" s="58">
        <f t="shared" si="24"/>
        <v>1900</v>
      </c>
      <c r="T265" s="41">
        <f t="shared" si="21"/>
        <v>0</v>
      </c>
      <c r="U265" s="2">
        <f t="shared" si="22"/>
        <v>0</v>
      </c>
      <c r="V265" s="2">
        <f t="shared" si="23"/>
        <v>0</v>
      </c>
      <c r="W265" s="41"/>
    </row>
    <row r="266" spans="9:23" x14ac:dyDescent="0.25">
      <c r="I266" s="58">
        <f t="shared" si="24"/>
        <v>1900</v>
      </c>
      <c r="T266" s="41">
        <f t="shared" si="21"/>
        <v>0</v>
      </c>
      <c r="U266" s="2">
        <f t="shared" si="22"/>
        <v>0</v>
      </c>
      <c r="V266" s="2">
        <f t="shared" si="23"/>
        <v>0</v>
      </c>
      <c r="W266" s="41"/>
    </row>
    <row r="267" spans="9:23" x14ac:dyDescent="0.25">
      <c r="I267" s="58">
        <f t="shared" si="24"/>
        <v>1900</v>
      </c>
      <c r="T267" s="41">
        <f t="shared" si="21"/>
        <v>0</v>
      </c>
      <c r="U267" s="2">
        <f t="shared" si="22"/>
        <v>0</v>
      </c>
      <c r="V267" s="2">
        <f t="shared" si="23"/>
        <v>0</v>
      </c>
      <c r="W267" s="41"/>
    </row>
    <row r="268" spans="9:23" x14ac:dyDescent="0.25">
      <c r="I268" s="58">
        <f t="shared" si="24"/>
        <v>1900</v>
      </c>
      <c r="T268" s="41">
        <f t="shared" si="21"/>
        <v>0</v>
      </c>
      <c r="U268" s="2">
        <f t="shared" si="22"/>
        <v>0</v>
      </c>
      <c r="V268" s="2">
        <f t="shared" si="23"/>
        <v>0</v>
      </c>
      <c r="W268" s="41"/>
    </row>
    <row r="269" spans="9:23" x14ac:dyDescent="0.25">
      <c r="I269" s="58">
        <f t="shared" si="24"/>
        <v>1900</v>
      </c>
      <c r="T269" s="41">
        <f t="shared" si="21"/>
        <v>0</v>
      </c>
      <c r="U269" s="2">
        <f t="shared" si="22"/>
        <v>0</v>
      </c>
      <c r="V269" s="2">
        <f t="shared" si="23"/>
        <v>0</v>
      </c>
      <c r="W269" s="41"/>
    </row>
    <row r="270" spans="9:23" x14ac:dyDescent="0.25">
      <c r="I270" s="58">
        <f t="shared" si="24"/>
        <v>1900</v>
      </c>
      <c r="T270" s="41">
        <f t="shared" si="21"/>
        <v>0</v>
      </c>
      <c r="U270" s="2">
        <f t="shared" si="22"/>
        <v>0</v>
      </c>
      <c r="V270" s="2">
        <f t="shared" si="23"/>
        <v>0</v>
      </c>
      <c r="W270" s="41"/>
    </row>
    <row r="271" spans="9:23" x14ac:dyDescent="0.25">
      <c r="I271" s="58">
        <f t="shared" si="24"/>
        <v>1900</v>
      </c>
      <c r="T271" s="41">
        <f t="shared" si="21"/>
        <v>0</v>
      </c>
      <c r="U271" s="2">
        <f t="shared" si="22"/>
        <v>0</v>
      </c>
      <c r="V271" s="2">
        <f t="shared" si="23"/>
        <v>0</v>
      </c>
      <c r="W271" s="41"/>
    </row>
    <row r="272" spans="9:23" x14ac:dyDescent="0.25">
      <c r="I272" s="58">
        <f t="shared" si="24"/>
        <v>1900</v>
      </c>
      <c r="T272" s="41">
        <f t="shared" si="21"/>
        <v>0</v>
      </c>
      <c r="U272" s="2">
        <f t="shared" si="22"/>
        <v>0</v>
      </c>
      <c r="V272" s="2">
        <f t="shared" si="23"/>
        <v>0</v>
      </c>
      <c r="W272" s="41"/>
    </row>
    <row r="273" spans="9:23" x14ac:dyDescent="0.25">
      <c r="I273" s="58">
        <f t="shared" si="24"/>
        <v>1900</v>
      </c>
      <c r="T273" s="41">
        <f t="shared" si="21"/>
        <v>0</v>
      </c>
      <c r="U273" s="2">
        <f t="shared" si="22"/>
        <v>0</v>
      </c>
      <c r="V273" s="2">
        <f t="shared" si="23"/>
        <v>0</v>
      </c>
      <c r="W273" s="41"/>
    </row>
    <row r="274" spans="9:23" x14ac:dyDescent="0.25">
      <c r="I274" s="58">
        <f t="shared" si="24"/>
        <v>1900</v>
      </c>
      <c r="T274" s="41">
        <f t="shared" si="21"/>
        <v>0</v>
      </c>
      <c r="U274" s="2">
        <f t="shared" si="22"/>
        <v>0</v>
      </c>
      <c r="V274" s="2">
        <f t="shared" si="23"/>
        <v>0</v>
      </c>
      <c r="W274" s="41"/>
    </row>
    <row r="275" spans="9:23" x14ac:dyDescent="0.25">
      <c r="I275" s="58">
        <f t="shared" si="24"/>
        <v>1900</v>
      </c>
      <c r="T275" s="41">
        <f t="shared" si="21"/>
        <v>0</v>
      </c>
      <c r="U275" s="2">
        <f t="shared" si="22"/>
        <v>0</v>
      </c>
      <c r="V275" s="2">
        <f t="shared" si="23"/>
        <v>0</v>
      </c>
      <c r="W275" s="41"/>
    </row>
    <row r="276" spans="9:23" x14ac:dyDescent="0.25">
      <c r="I276" s="58">
        <f t="shared" si="24"/>
        <v>1900</v>
      </c>
      <c r="T276" s="41">
        <f t="shared" si="21"/>
        <v>0</v>
      </c>
      <c r="U276" s="2">
        <f t="shared" si="22"/>
        <v>0</v>
      </c>
      <c r="V276" s="2">
        <f t="shared" si="23"/>
        <v>0</v>
      </c>
      <c r="W276" s="41"/>
    </row>
    <row r="277" spans="9:23" x14ac:dyDescent="0.25">
      <c r="I277" s="58">
        <f t="shared" si="24"/>
        <v>1900</v>
      </c>
      <c r="T277" s="41">
        <f t="shared" si="21"/>
        <v>0</v>
      </c>
      <c r="U277" s="2">
        <f t="shared" si="22"/>
        <v>0</v>
      </c>
      <c r="V277" s="2">
        <f t="shared" si="23"/>
        <v>0</v>
      </c>
      <c r="W277" s="41"/>
    </row>
    <row r="278" spans="9:23" x14ac:dyDescent="0.25">
      <c r="I278" s="58">
        <f t="shared" si="24"/>
        <v>1900</v>
      </c>
      <c r="T278" s="41">
        <f t="shared" si="21"/>
        <v>0</v>
      </c>
      <c r="U278" s="2">
        <f t="shared" si="22"/>
        <v>0</v>
      </c>
      <c r="V278" s="2">
        <f t="shared" si="23"/>
        <v>0</v>
      </c>
      <c r="W278" s="41"/>
    </row>
    <row r="279" spans="9:23" x14ac:dyDescent="0.25">
      <c r="I279" s="58">
        <f t="shared" ref="I279:I301" si="25">YEAR(H279)</f>
        <v>1900</v>
      </c>
      <c r="T279" s="41">
        <f t="shared" si="21"/>
        <v>0</v>
      </c>
      <c r="U279" s="2">
        <f t="shared" si="22"/>
        <v>0</v>
      </c>
      <c r="V279" s="2">
        <f t="shared" si="23"/>
        <v>0</v>
      </c>
      <c r="W279" s="41"/>
    </row>
    <row r="280" spans="9:23" x14ac:dyDescent="0.25">
      <c r="I280" s="58">
        <f t="shared" si="25"/>
        <v>1900</v>
      </c>
      <c r="T280" s="41">
        <f t="shared" ref="T280:T301" si="26">Q280-M280</f>
        <v>0</v>
      </c>
      <c r="U280" s="2">
        <f t="shared" ref="U280:U301" si="27">R280-N280</f>
        <v>0</v>
      </c>
      <c r="V280" s="2">
        <f t="shared" ref="V280:V301" si="28">S280-O280</f>
        <v>0</v>
      </c>
      <c r="W280" s="41"/>
    </row>
    <row r="281" spans="9:23" x14ac:dyDescent="0.25">
      <c r="I281" s="58">
        <f t="shared" si="25"/>
        <v>1900</v>
      </c>
      <c r="T281" s="41">
        <f t="shared" si="26"/>
        <v>0</v>
      </c>
      <c r="U281" s="2">
        <f t="shared" si="27"/>
        <v>0</v>
      </c>
      <c r="V281" s="2">
        <f t="shared" si="28"/>
        <v>0</v>
      </c>
      <c r="W281" s="41"/>
    </row>
    <row r="282" spans="9:23" x14ac:dyDescent="0.25">
      <c r="I282" s="58">
        <f t="shared" si="25"/>
        <v>1900</v>
      </c>
      <c r="T282" s="41">
        <f t="shared" si="26"/>
        <v>0</v>
      </c>
      <c r="U282" s="2">
        <f t="shared" si="27"/>
        <v>0</v>
      </c>
      <c r="V282" s="2">
        <f t="shared" si="28"/>
        <v>0</v>
      </c>
      <c r="W282" s="41"/>
    </row>
    <row r="283" spans="9:23" x14ac:dyDescent="0.25">
      <c r="I283" s="58">
        <f t="shared" si="25"/>
        <v>1900</v>
      </c>
      <c r="T283" s="41">
        <f t="shared" si="26"/>
        <v>0</v>
      </c>
      <c r="U283" s="2">
        <f t="shared" si="27"/>
        <v>0</v>
      </c>
      <c r="V283" s="2">
        <f t="shared" si="28"/>
        <v>0</v>
      </c>
      <c r="W283" s="41"/>
    </row>
    <row r="284" spans="9:23" x14ac:dyDescent="0.25">
      <c r="I284" s="58">
        <f t="shared" si="25"/>
        <v>1900</v>
      </c>
      <c r="T284" s="41">
        <f t="shared" si="26"/>
        <v>0</v>
      </c>
      <c r="U284" s="2">
        <f t="shared" si="27"/>
        <v>0</v>
      </c>
      <c r="V284" s="2">
        <f t="shared" si="28"/>
        <v>0</v>
      </c>
      <c r="W284" s="41"/>
    </row>
    <row r="285" spans="9:23" x14ac:dyDescent="0.25">
      <c r="I285" s="58">
        <f t="shared" si="25"/>
        <v>1900</v>
      </c>
      <c r="T285" s="41">
        <f t="shared" si="26"/>
        <v>0</v>
      </c>
      <c r="U285" s="2">
        <f t="shared" si="27"/>
        <v>0</v>
      </c>
      <c r="V285" s="2">
        <f t="shared" si="28"/>
        <v>0</v>
      </c>
      <c r="W285" s="41"/>
    </row>
    <row r="286" spans="9:23" x14ac:dyDescent="0.25">
      <c r="I286" s="58">
        <f t="shared" si="25"/>
        <v>1900</v>
      </c>
      <c r="T286" s="41">
        <f t="shared" si="26"/>
        <v>0</v>
      </c>
      <c r="U286" s="2">
        <f t="shared" si="27"/>
        <v>0</v>
      </c>
      <c r="V286" s="2">
        <f t="shared" si="28"/>
        <v>0</v>
      </c>
      <c r="W286" s="41"/>
    </row>
    <row r="287" spans="9:23" x14ac:dyDescent="0.25">
      <c r="I287" s="58">
        <f t="shared" si="25"/>
        <v>1900</v>
      </c>
      <c r="T287" s="41">
        <f t="shared" si="26"/>
        <v>0</v>
      </c>
      <c r="U287" s="2">
        <f t="shared" si="27"/>
        <v>0</v>
      </c>
      <c r="V287" s="2">
        <f t="shared" si="28"/>
        <v>0</v>
      </c>
      <c r="W287" s="41"/>
    </row>
    <row r="288" spans="9:23" x14ac:dyDescent="0.25">
      <c r="I288" s="58">
        <f t="shared" si="25"/>
        <v>1900</v>
      </c>
      <c r="T288" s="41">
        <f t="shared" si="26"/>
        <v>0</v>
      </c>
      <c r="U288" s="2">
        <f t="shared" si="27"/>
        <v>0</v>
      </c>
      <c r="V288" s="2">
        <f t="shared" si="28"/>
        <v>0</v>
      </c>
      <c r="W288" s="41"/>
    </row>
    <row r="289" spans="9:23" x14ac:dyDescent="0.25">
      <c r="I289" s="58">
        <f t="shared" si="25"/>
        <v>1900</v>
      </c>
      <c r="T289" s="41">
        <f t="shared" si="26"/>
        <v>0</v>
      </c>
      <c r="U289" s="2">
        <f t="shared" si="27"/>
        <v>0</v>
      </c>
      <c r="V289" s="2">
        <f t="shared" si="28"/>
        <v>0</v>
      </c>
      <c r="W289" s="41"/>
    </row>
    <row r="290" spans="9:23" x14ac:dyDescent="0.25">
      <c r="I290" s="58">
        <f t="shared" si="25"/>
        <v>1900</v>
      </c>
      <c r="T290" s="41">
        <f t="shared" si="26"/>
        <v>0</v>
      </c>
      <c r="U290" s="2">
        <f t="shared" si="27"/>
        <v>0</v>
      </c>
      <c r="V290" s="2">
        <f t="shared" si="28"/>
        <v>0</v>
      </c>
      <c r="W290" s="41"/>
    </row>
    <row r="291" spans="9:23" x14ac:dyDescent="0.25">
      <c r="I291" s="58">
        <f t="shared" si="25"/>
        <v>1900</v>
      </c>
      <c r="T291" s="41">
        <f t="shared" si="26"/>
        <v>0</v>
      </c>
      <c r="U291" s="2">
        <f t="shared" si="27"/>
        <v>0</v>
      </c>
      <c r="V291" s="2">
        <f t="shared" si="28"/>
        <v>0</v>
      </c>
      <c r="W291" s="41"/>
    </row>
    <row r="292" spans="9:23" x14ac:dyDescent="0.25">
      <c r="I292" s="58">
        <f t="shared" si="25"/>
        <v>1900</v>
      </c>
      <c r="T292" s="41">
        <f t="shared" si="26"/>
        <v>0</v>
      </c>
      <c r="U292" s="2">
        <f t="shared" si="27"/>
        <v>0</v>
      </c>
      <c r="V292" s="2">
        <f t="shared" si="28"/>
        <v>0</v>
      </c>
      <c r="W292" s="41"/>
    </row>
    <row r="293" spans="9:23" x14ac:dyDescent="0.25">
      <c r="I293" s="58">
        <f t="shared" si="25"/>
        <v>1900</v>
      </c>
      <c r="T293" s="41">
        <f t="shared" si="26"/>
        <v>0</v>
      </c>
      <c r="U293" s="2">
        <f t="shared" si="27"/>
        <v>0</v>
      </c>
      <c r="V293" s="2">
        <f t="shared" si="28"/>
        <v>0</v>
      </c>
      <c r="W293" s="41"/>
    </row>
    <row r="294" spans="9:23" x14ac:dyDescent="0.25">
      <c r="I294" s="58">
        <f t="shared" si="25"/>
        <v>1900</v>
      </c>
      <c r="T294" s="41">
        <f t="shared" si="26"/>
        <v>0</v>
      </c>
      <c r="U294" s="2">
        <f t="shared" si="27"/>
        <v>0</v>
      </c>
      <c r="V294" s="2">
        <f t="shared" si="28"/>
        <v>0</v>
      </c>
      <c r="W294" s="41"/>
    </row>
    <row r="295" spans="9:23" x14ac:dyDescent="0.25">
      <c r="I295" s="58">
        <f t="shared" si="25"/>
        <v>1900</v>
      </c>
      <c r="T295" s="41">
        <f t="shared" si="26"/>
        <v>0</v>
      </c>
      <c r="U295" s="2">
        <f t="shared" si="27"/>
        <v>0</v>
      </c>
      <c r="V295" s="2">
        <f t="shared" si="28"/>
        <v>0</v>
      </c>
      <c r="W295" s="41"/>
    </row>
    <row r="296" spans="9:23" x14ac:dyDescent="0.25">
      <c r="I296" s="58">
        <f t="shared" si="25"/>
        <v>1900</v>
      </c>
      <c r="T296" s="41">
        <f t="shared" si="26"/>
        <v>0</v>
      </c>
      <c r="U296" s="2">
        <f t="shared" si="27"/>
        <v>0</v>
      </c>
      <c r="V296" s="2">
        <f t="shared" si="28"/>
        <v>0</v>
      </c>
      <c r="W296" s="41"/>
    </row>
    <row r="297" spans="9:23" x14ac:dyDescent="0.25">
      <c r="I297" s="58">
        <f t="shared" si="25"/>
        <v>1900</v>
      </c>
      <c r="T297" s="41">
        <f t="shared" si="26"/>
        <v>0</v>
      </c>
      <c r="U297" s="2">
        <f t="shared" si="27"/>
        <v>0</v>
      </c>
      <c r="V297" s="2">
        <f t="shared" si="28"/>
        <v>0</v>
      </c>
      <c r="W297" s="41"/>
    </row>
    <row r="298" spans="9:23" x14ac:dyDescent="0.25">
      <c r="I298" s="58">
        <f t="shared" si="25"/>
        <v>1900</v>
      </c>
      <c r="T298" s="41">
        <f t="shared" si="26"/>
        <v>0</v>
      </c>
      <c r="U298" s="2">
        <f t="shared" si="27"/>
        <v>0</v>
      </c>
      <c r="V298" s="2">
        <f t="shared" si="28"/>
        <v>0</v>
      </c>
      <c r="W298" s="41"/>
    </row>
    <row r="299" spans="9:23" x14ac:dyDescent="0.25">
      <c r="I299" s="58">
        <f t="shared" si="25"/>
        <v>1900</v>
      </c>
      <c r="T299" s="41">
        <f t="shared" si="26"/>
        <v>0</v>
      </c>
      <c r="U299" s="2">
        <f t="shared" si="27"/>
        <v>0</v>
      </c>
      <c r="V299" s="2">
        <f t="shared" si="28"/>
        <v>0</v>
      </c>
      <c r="W299" s="41"/>
    </row>
    <row r="300" spans="9:23" x14ac:dyDescent="0.25">
      <c r="I300" s="58">
        <f t="shared" si="25"/>
        <v>1900</v>
      </c>
      <c r="T300" s="41">
        <f t="shared" si="26"/>
        <v>0</v>
      </c>
      <c r="U300" s="2">
        <f t="shared" si="27"/>
        <v>0</v>
      </c>
      <c r="V300" s="2">
        <f t="shared" si="28"/>
        <v>0</v>
      </c>
      <c r="W300" s="41"/>
    </row>
    <row r="301" spans="9:23" x14ac:dyDescent="0.25">
      <c r="I301" s="58">
        <f t="shared" si="25"/>
        <v>1900</v>
      </c>
      <c r="T301" s="41">
        <f t="shared" si="26"/>
        <v>0</v>
      </c>
      <c r="U301" s="2">
        <f t="shared" si="27"/>
        <v>0</v>
      </c>
      <c r="V301" s="2">
        <f t="shared" si="28"/>
        <v>0</v>
      </c>
      <c r="W301" s="41"/>
    </row>
  </sheetData>
  <mergeCells count="9">
    <mergeCell ref="K16:K17"/>
    <mergeCell ref="J16:J17"/>
    <mergeCell ref="AB16:AB17"/>
    <mergeCell ref="C16:C17"/>
    <mergeCell ref="D16:D17"/>
    <mergeCell ref="E16:E17"/>
    <mergeCell ref="F16:F17"/>
    <mergeCell ref="G16:G17"/>
    <mergeCell ref="H16:H17"/>
  </mergeCells>
  <hyperlinks>
    <hyperlink ref="C7" location="BuildoutAssumptions!A1" display="BuildoutAssupmtions sheet" xr:uid="{41BC8EBA-11E0-4333-A3C0-8682C8E7F792}"/>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177F3-B572-4754-9FB9-4E6D2C4ACAF5}">
  <dimension ref="A1:O64"/>
  <sheetViews>
    <sheetView zoomScaleNormal="100" workbookViewId="0"/>
  </sheetViews>
  <sheetFormatPr defaultRowHeight="15" x14ac:dyDescent="0.25"/>
  <cols>
    <col min="1" max="4" width="6.42578125" customWidth="1"/>
    <col min="5" max="8" width="10.7109375" style="206" customWidth="1"/>
    <col min="9" max="11" width="8.28515625" style="59" customWidth="1"/>
    <col min="12" max="12" width="6.42578125" customWidth="1"/>
    <col min="13" max="14" width="8.28515625" customWidth="1"/>
    <col min="15" max="15" width="10.42578125" customWidth="1"/>
    <col min="16" max="18" width="6.42578125" customWidth="1"/>
  </cols>
  <sheetData>
    <row r="1" spans="1:11" ht="20.25" thickBot="1" x14ac:dyDescent="0.3">
      <c r="A1" s="87" t="s">
        <v>1120</v>
      </c>
      <c r="B1" s="87"/>
      <c r="C1" s="87"/>
      <c r="D1" s="87"/>
      <c r="E1" s="204"/>
      <c r="F1" s="204"/>
      <c r="G1" s="204"/>
      <c r="H1" s="205"/>
      <c r="I1" s="207"/>
      <c r="J1" s="207"/>
      <c r="K1" s="207"/>
    </row>
    <row r="2" spans="1:11" x14ac:dyDescent="0.25">
      <c r="B2" t="s">
        <v>1193</v>
      </c>
    </row>
    <row r="3" spans="1:11" x14ac:dyDescent="0.25">
      <c r="C3" t="s">
        <v>1218</v>
      </c>
    </row>
    <row r="4" spans="1:11" x14ac:dyDescent="0.25">
      <c r="B4" t="s">
        <v>1206</v>
      </c>
    </row>
    <row r="5" spans="1:11" x14ac:dyDescent="0.25">
      <c r="B5" t="s">
        <v>1194</v>
      </c>
    </row>
    <row r="6" spans="1:11" x14ac:dyDescent="0.25">
      <c r="B6" t="s">
        <v>1209</v>
      </c>
    </row>
    <row r="7" spans="1:11" x14ac:dyDescent="0.25">
      <c r="C7" t="s">
        <v>1210</v>
      </c>
    </row>
    <row r="8" spans="1:11" x14ac:dyDescent="0.25">
      <c r="C8" t="s">
        <v>1211</v>
      </c>
    </row>
    <row r="9" spans="1:11" x14ac:dyDescent="0.25">
      <c r="D9" t="s">
        <v>1228</v>
      </c>
    </row>
    <row r="10" spans="1:11" x14ac:dyDescent="0.25">
      <c r="C10" t="s">
        <v>1212</v>
      </c>
    </row>
    <row r="11" spans="1:11" x14ac:dyDescent="0.25">
      <c r="B11" t="s">
        <v>1205</v>
      </c>
    </row>
    <row r="12" spans="1:11" x14ac:dyDescent="0.25">
      <c r="B12" t="s">
        <v>1216</v>
      </c>
    </row>
    <row r="13" spans="1:11" x14ac:dyDescent="0.25">
      <c r="B13" t="s">
        <v>1979</v>
      </c>
    </row>
    <row r="14" spans="1:11" x14ac:dyDescent="0.25">
      <c r="B14" t="s">
        <v>1207</v>
      </c>
    </row>
    <row r="15" spans="1:11" x14ac:dyDescent="0.25">
      <c r="B15" t="s">
        <v>1208</v>
      </c>
    </row>
    <row r="16" spans="1:11" x14ac:dyDescent="0.25">
      <c r="B16" t="s">
        <v>1222</v>
      </c>
    </row>
    <row r="17" spans="1:15" x14ac:dyDescent="0.25">
      <c r="C17" t="s">
        <v>1214</v>
      </c>
    </row>
    <row r="18" spans="1:15" x14ac:dyDescent="0.25">
      <c r="C18" t="s">
        <v>1215</v>
      </c>
    </row>
    <row r="19" spans="1:15" x14ac:dyDescent="0.25">
      <c r="B19" t="s">
        <v>1223</v>
      </c>
    </row>
    <row r="20" spans="1:15" x14ac:dyDescent="0.25">
      <c r="C20" t="s">
        <v>1224</v>
      </c>
    </row>
    <row r="21" spans="1:15" x14ac:dyDescent="0.25">
      <c r="C21" t="s">
        <v>1225</v>
      </c>
    </row>
    <row r="22" spans="1:15" x14ac:dyDescent="0.25">
      <c r="C22" t="s">
        <v>1226</v>
      </c>
    </row>
    <row r="23" spans="1:15" x14ac:dyDescent="0.25">
      <c r="C23" t="s">
        <v>1227</v>
      </c>
    </row>
    <row r="24" spans="1:15" ht="30" x14ac:dyDescent="0.25">
      <c r="A24" s="212"/>
      <c r="B24" s="212" t="s">
        <v>57</v>
      </c>
      <c r="C24" s="212"/>
      <c r="D24" s="213" t="s">
        <v>1159</v>
      </c>
      <c r="E24" s="214" t="s">
        <v>1160</v>
      </c>
      <c r="F24" s="214" t="s">
        <v>1161</v>
      </c>
      <c r="G24" s="214" t="s">
        <v>1162</v>
      </c>
      <c r="H24" s="215" t="s">
        <v>1163</v>
      </c>
      <c r="I24" s="216" t="s">
        <v>1164</v>
      </c>
      <c r="J24" s="216" t="s">
        <v>1165</v>
      </c>
      <c r="K24" s="216" t="s">
        <v>1166</v>
      </c>
      <c r="L24" s="216" t="s">
        <v>1196</v>
      </c>
      <c r="M24" s="216" t="s">
        <v>1219</v>
      </c>
      <c r="N24" s="216" t="s">
        <v>1220</v>
      </c>
      <c r="O24" s="216" t="s">
        <v>1221</v>
      </c>
    </row>
    <row r="25" spans="1:15" s="211" customFormat="1" x14ac:dyDescent="0.25">
      <c r="A25" s="258" t="s">
        <v>162</v>
      </c>
      <c r="B25" s="258"/>
      <c r="C25" s="258"/>
      <c r="D25" s="258"/>
      <c r="E25" s="259"/>
      <c r="F25" s="259"/>
      <c r="G25" s="259"/>
      <c r="H25" s="260"/>
      <c r="I25" s="261"/>
      <c r="J25" s="261"/>
      <c r="K25" s="261"/>
      <c r="L25" s="261"/>
      <c r="M25" s="258"/>
      <c r="N25" s="258"/>
      <c r="O25" s="258"/>
    </row>
    <row r="26" spans="1:15" x14ac:dyDescent="0.25">
      <c r="B26" t="s">
        <v>181</v>
      </c>
      <c r="D26">
        <v>1.3</v>
      </c>
      <c r="E26" s="206">
        <v>0.25</v>
      </c>
      <c r="F26" s="206">
        <v>0.25</v>
      </c>
      <c r="G26" s="206">
        <v>0.25</v>
      </c>
      <c r="H26" s="206">
        <v>0.25</v>
      </c>
      <c r="I26" s="208">
        <v>1200</v>
      </c>
      <c r="J26" s="59">
        <v>650</v>
      </c>
      <c r="K26" s="59">
        <v>1200</v>
      </c>
    </row>
    <row r="27" spans="1:15" x14ac:dyDescent="0.25">
      <c r="B27" t="s">
        <v>1170</v>
      </c>
      <c r="D27">
        <v>0.65</v>
      </c>
      <c r="E27" s="206">
        <v>0.25</v>
      </c>
      <c r="H27" s="206">
        <v>0.75</v>
      </c>
      <c r="I27" s="208">
        <v>1200</v>
      </c>
    </row>
    <row r="28" spans="1:15" x14ac:dyDescent="0.25">
      <c r="B28" t="s">
        <v>1171</v>
      </c>
      <c r="D28">
        <v>0.8</v>
      </c>
      <c r="E28" s="206">
        <v>0.25</v>
      </c>
      <c r="F28" s="206">
        <v>0.25</v>
      </c>
      <c r="G28" s="206">
        <v>0.25</v>
      </c>
      <c r="H28" s="206">
        <v>0.25</v>
      </c>
      <c r="I28" s="208">
        <v>1200</v>
      </c>
      <c r="J28" s="59">
        <v>650</v>
      </c>
      <c r="K28" s="59">
        <v>1200</v>
      </c>
    </row>
    <row r="29" spans="1:15" x14ac:dyDescent="0.25">
      <c r="B29" t="s">
        <v>1172</v>
      </c>
      <c r="D29">
        <v>0.46</v>
      </c>
      <c r="E29" s="206">
        <v>0.25</v>
      </c>
      <c r="H29" s="206">
        <v>0.75</v>
      </c>
      <c r="I29" s="208">
        <v>1200</v>
      </c>
    </row>
    <row r="30" spans="1:15" x14ac:dyDescent="0.25">
      <c r="B30" t="s">
        <v>1173</v>
      </c>
      <c r="D30">
        <v>0.8</v>
      </c>
      <c r="E30" s="206">
        <v>0.25</v>
      </c>
      <c r="F30" s="206">
        <v>0.25</v>
      </c>
      <c r="G30" s="206">
        <v>0.25</v>
      </c>
      <c r="H30" s="206">
        <v>0.25</v>
      </c>
      <c r="I30" s="208">
        <v>1200</v>
      </c>
      <c r="J30" s="59">
        <v>650</v>
      </c>
      <c r="K30" s="59">
        <v>1200</v>
      </c>
    </row>
    <row r="31" spans="1:15" x14ac:dyDescent="0.25">
      <c r="B31" t="s">
        <v>1174</v>
      </c>
      <c r="D31">
        <v>0.4</v>
      </c>
      <c r="E31" s="206">
        <v>0.25</v>
      </c>
      <c r="H31" s="206">
        <v>0.75</v>
      </c>
      <c r="I31" s="208">
        <v>1200</v>
      </c>
    </row>
    <row r="32" spans="1:15" x14ac:dyDescent="0.25">
      <c r="B32" t="s">
        <v>1175</v>
      </c>
      <c r="D32">
        <v>0.46</v>
      </c>
      <c r="E32" s="206">
        <v>0.25</v>
      </c>
      <c r="H32" s="206">
        <v>0.75</v>
      </c>
      <c r="I32" s="208">
        <v>1200</v>
      </c>
    </row>
    <row r="33" spans="1:15" x14ac:dyDescent="0.25">
      <c r="B33" t="s">
        <v>1167</v>
      </c>
      <c r="D33">
        <v>1.83</v>
      </c>
      <c r="E33" s="206">
        <v>0.25</v>
      </c>
      <c r="H33" s="206">
        <v>0.75</v>
      </c>
      <c r="I33" s="208">
        <v>1200</v>
      </c>
    </row>
    <row r="34" spans="1:15" x14ac:dyDescent="0.25">
      <c r="B34" t="s">
        <v>1168</v>
      </c>
      <c r="D34">
        <v>1.83</v>
      </c>
      <c r="E34" s="206">
        <v>0.25</v>
      </c>
      <c r="F34" s="206">
        <v>0.25</v>
      </c>
      <c r="G34" s="206">
        <v>0.25</v>
      </c>
      <c r="H34" s="206">
        <v>0.25</v>
      </c>
      <c r="I34" s="208">
        <v>1200</v>
      </c>
      <c r="J34" s="59">
        <v>650</v>
      </c>
      <c r="K34" s="59">
        <v>1200</v>
      </c>
    </row>
    <row r="35" spans="1:15" x14ac:dyDescent="0.25">
      <c r="B35" t="s">
        <v>1169</v>
      </c>
      <c r="D35">
        <v>1.3</v>
      </c>
      <c r="E35" s="206">
        <v>0.25</v>
      </c>
      <c r="F35" s="206">
        <v>0.25</v>
      </c>
      <c r="G35" s="206">
        <v>0.25</v>
      </c>
      <c r="H35" s="206">
        <v>0.25</v>
      </c>
      <c r="I35" s="208">
        <v>1200</v>
      </c>
      <c r="J35" s="59">
        <v>650</v>
      </c>
      <c r="K35" s="59">
        <v>1200</v>
      </c>
    </row>
    <row r="36" spans="1:15" x14ac:dyDescent="0.25">
      <c r="B36" t="s">
        <v>1178</v>
      </c>
      <c r="L36" s="209">
        <f>43560/7500*3</f>
        <v>17.423999999999999</v>
      </c>
    </row>
    <row r="37" spans="1:15" x14ac:dyDescent="0.25">
      <c r="B37" t="s">
        <v>1179</v>
      </c>
      <c r="L37" s="209">
        <f>43560/7500*3</f>
        <v>17.423999999999999</v>
      </c>
    </row>
    <row r="38" spans="1:15" x14ac:dyDescent="0.25">
      <c r="B38" t="s">
        <v>1180</v>
      </c>
      <c r="L38" s="209">
        <f>43560/7500*2</f>
        <v>11.616</v>
      </c>
    </row>
    <row r="39" spans="1:15" x14ac:dyDescent="0.25">
      <c r="B39" t="s">
        <v>1181</v>
      </c>
      <c r="L39" s="209">
        <f>43560/7500*3</f>
        <v>17.423999999999999</v>
      </c>
    </row>
    <row r="40" spans="1:15" x14ac:dyDescent="0.25">
      <c r="B40" t="s">
        <v>1182</v>
      </c>
      <c r="L40" s="209">
        <f>43560/7500*1</f>
        <v>5.8079999999999998</v>
      </c>
    </row>
    <row r="41" spans="1:15" x14ac:dyDescent="0.25">
      <c r="B41" t="s">
        <v>1183</v>
      </c>
      <c r="L41" s="209">
        <f>43560/7500*1</f>
        <v>5.8079999999999998</v>
      </c>
    </row>
    <row r="42" spans="1:15" x14ac:dyDescent="0.25">
      <c r="B42" t="s">
        <v>1184</v>
      </c>
      <c r="L42" s="209">
        <v>2</v>
      </c>
    </row>
    <row r="43" spans="1:15" x14ac:dyDescent="0.25">
      <c r="B43" t="s">
        <v>1185</v>
      </c>
      <c r="L43" s="209">
        <v>1</v>
      </c>
    </row>
    <row r="44" spans="1:15" x14ac:dyDescent="0.25">
      <c r="B44" t="s">
        <v>1197</v>
      </c>
      <c r="L44" s="209">
        <v>3.63</v>
      </c>
    </row>
    <row r="45" spans="1:15" s="211" customFormat="1" x14ac:dyDescent="0.25">
      <c r="A45" s="258" t="s">
        <v>138</v>
      </c>
      <c r="B45" s="258"/>
      <c r="C45" s="258"/>
      <c r="D45" s="258"/>
      <c r="E45" s="259"/>
      <c r="F45" s="259"/>
      <c r="G45" s="259"/>
      <c r="H45" s="260"/>
      <c r="I45" s="261"/>
      <c r="J45" s="261"/>
      <c r="K45" s="261"/>
      <c r="L45" s="261"/>
      <c r="M45" s="258"/>
      <c r="N45" s="258"/>
      <c r="O45" s="258"/>
    </row>
    <row r="46" spans="1:15" x14ac:dyDescent="0.25">
      <c r="B46" t="s">
        <v>1188</v>
      </c>
      <c r="D46">
        <v>0.35</v>
      </c>
      <c r="H46" s="206">
        <v>1</v>
      </c>
      <c r="L46" s="209">
        <v>4.16</v>
      </c>
    </row>
    <row r="47" spans="1:15" x14ac:dyDescent="0.25">
      <c r="B47" t="s">
        <v>1189</v>
      </c>
      <c r="D47">
        <v>0.35</v>
      </c>
      <c r="H47" s="206">
        <v>0.5</v>
      </c>
      <c r="L47" s="209">
        <v>9</v>
      </c>
    </row>
    <row r="48" spans="1:15" x14ac:dyDescent="0.25">
      <c r="B48" t="s">
        <v>1190</v>
      </c>
      <c r="D48" t="s">
        <v>1217</v>
      </c>
    </row>
    <row r="49" spans="1:15" x14ac:dyDescent="0.25">
      <c r="B49" t="s">
        <v>80</v>
      </c>
      <c r="L49" s="209">
        <f>43560/7500*3</f>
        <v>17.423999999999999</v>
      </c>
    </row>
    <row r="50" spans="1:15" x14ac:dyDescent="0.25">
      <c r="B50" t="s">
        <v>74</v>
      </c>
      <c r="L50">
        <f>1/35</f>
        <v>2.8571428571428571E-2</v>
      </c>
      <c r="M50">
        <f>3/35</f>
        <v>8.5714285714285715E-2</v>
      </c>
      <c r="N50">
        <v>49</v>
      </c>
      <c r="O50" s="118">
        <v>0.6</v>
      </c>
    </row>
    <row r="51" spans="1:15" x14ac:dyDescent="0.25">
      <c r="B51" t="s">
        <v>107</v>
      </c>
      <c r="L51">
        <f>1/35</f>
        <v>2.8571428571428571E-2</v>
      </c>
      <c r="M51">
        <f>3/35</f>
        <v>8.5714285714285715E-2</v>
      </c>
      <c r="N51">
        <v>49</v>
      </c>
      <c r="O51" s="118">
        <v>0.4</v>
      </c>
    </row>
    <row r="52" spans="1:15" x14ac:dyDescent="0.25">
      <c r="B52" t="s">
        <v>129</v>
      </c>
      <c r="L52">
        <f>1/35</f>
        <v>2.8571428571428571E-2</v>
      </c>
    </row>
    <row r="53" spans="1:15" x14ac:dyDescent="0.25">
      <c r="B53" t="s">
        <v>63</v>
      </c>
      <c r="D53">
        <v>7.0000000000000001E-3</v>
      </c>
      <c r="H53" s="206">
        <v>7.0000000000000007E-2</v>
      </c>
      <c r="L53">
        <f>1/35</f>
        <v>2.8571428571428571E-2</v>
      </c>
      <c r="M53">
        <f>3/35</f>
        <v>8.5714285714285715E-2</v>
      </c>
      <c r="N53">
        <v>49</v>
      </c>
      <c r="O53" s="118">
        <v>1</v>
      </c>
    </row>
    <row r="54" spans="1:15" x14ac:dyDescent="0.25">
      <c r="B54" t="s">
        <v>1191</v>
      </c>
      <c r="D54" t="s">
        <v>1213</v>
      </c>
    </row>
    <row r="55" spans="1:15" x14ac:dyDescent="0.25">
      <c r="B55" t="s">
        <v>192</v>
      </c>
      <c r="L55">
        <f>1/3</f>
        <v>0.33333333333333331</v>
      </c>
    </row>
    <row r="56" spans="1:15" x14ac:dyDescent="0.25">
      <c r="B56" t="s">
        <v>1192</v>
      </c>
      <c r="L56" s="209">
        <f>43560/12000</f>
        <v>3.63</v>
      </c>
    </row>
    <row r="57" spans="1:15" s="211" customFormat="1" x14ac:dyDescent="0.25">
      <c r="A57" s="258" t="s">
        <v>1204</v>
      </c>
      <c r="B57" s="258"/>
      <c r="C57" s="258"/>
      <c r="D57" s="258"/>
      <c r="E57" s="259"/>
      <c r="F57" s="259"/>
      <c r="G57" s="259"/>
      <c r="H57" s="260"/>
      <c r="I57" s="261"/>
      <c r="J57" s="261"/>
      <c r="K57" s="261"/>
      <c r="L57" s="261"/>
      <c r="M57" s="258"/>
      <c r="N57" s="258"/>
      <c r="O57" s="258"/>
    </row>
    <row r="58" spans="1:15" x14ac:dyDescent="0.25">
      <c r="B58" t="s">
        <v>1176</v>
      </c>
      <c r="D58">
        <v>0.41</v>
      </c>
      <c r="E58" s="122">
        <v>0.105</v>
      </c>
      <c r="F58" s="206">
        <v>0</v>
      </c>
      <c r="G58" s="206">
        <v>0</v>
      </c>
      <c r="H58" s="206">
        <v>1</v>
      </c>
      <c r="I58" s="59">
        <v>600</v>
      </c>
    </row>
    <row r="59" spans="1:15" x14ac:dyDescent="0.25">
      <c r="B59" t="s">
        <v>1177</v>
      </c>
      <c r="D59" t="s">
        <v>1203</v>
      </c>
    </row>
    <row r="60" spans="1:15" x14ac:dyDescent="0.25">
      <c r="B60" t="s">
        <v>1186</v>
      </c>
      <c r="D60" t="s">
        <v>1202</v>
      </c>
    </row>
    <row r="61" spans="1:15" x14ac:dyDescent="0.25">
      <c r="B61" t="s">
        <v>84</v>
      </c>
      <c r="D61" t="s">
        <v>1202</v>
      </c>
    </row>
    <row r="62" spans="1:15" x14ac:dyDescent="0.25">
      <c r="B62" t="s">
        <v>1187</v>
      </c>
      <c r="D62" t="s">
        <v>1201</v>
      </c>
    </row>
    <row r="63" spans="1:15" x14ac:dyDescent="0.25">
      <c r="B63" t="s">
        <v>1199</v>
      </c>
      <c r="D63" t="s">
        <v>1198</v>
      </c>
    </row>
    <row r="64" spans="1:15" ht="30" customHeight="1" x14ac:dyDescent="0.25">
      <c r="B64" s="317" t="s">
        <v>1195</v>
      </c>
      <c r="C64" s="317"/>
      <c r="D64" s="210" t="s">
        <v>1200</v>
      </c>
    </row>
  </sheetData>
  <mergeCells count="1">
    <mergeCell ref="B64:C64"/>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22A17313720D498652ED3D1F15B8E3" ma:contentTypeVersion="10" ma:contentTypeDescription="Create a new document." ma:contentTypeScope="" ma:versionID="c81f5adf5207875f1502712c118e152f">
  <xsd:schema xmlns:xsd="http://www.w3.org/2001/XMLSchema" xmlns:xs="http://www.w3.org/2001/XMLSchema" xmlns:p="http://schemas.microsoft.com/office/2006/metadata/properties" xmlns:ns2="7a8e9bb9-fd04-47fb-9a37-2c5fdfef2401" xmlns:ns3="1c7ef77e-170a-485c-855e-b345781b6308" targetNamespace="http://schemas.microsoft.com/office/2006/metadata/properties" ma:root="true" ma:fieldsID="c0b033fcf70da87d069875a87f94aa75" ns2:_="" ns3:_="">
    <xsd:import namespace="7a8e9bb9-fd04-47fb-9a37-2c5fdfef2401"/>
    <xsd:import namespace="1c7ef77e-170a-485c-855e-b345781b630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8e9bb9-fd04-47fb-9a37-2c5fdfef24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7ef77e-170a-485c-855e-b345781b630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923FF6-819F-4E2A-9A09-96458DCF01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8e9bb9-fd04-47fb-9a37-2c5fdfef2401"/>
    <ds:schemaRef ds:uri="1c7ef77e-170a-485c-855e-b345781b63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42F71E-1B8B-4D4F-8690-E21A0152630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B1DEA64-84F2-4A52-A1DF-BCBBEC7421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of Contents</vt:lpstr>
      <vt:lpstr>Datasheet</vt:lpstr>
      <vt:lpstr>Indicators</vt:lpstr>
      <vt:lpstr>ConsevationBuildoutTracker</vt:lpstr>
      <vt:lpstr>BuildoutAssumptions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Rian Rooney</cp:lastModifiedBy>
  <dcterms:created xsi:type="dcterms:W3CDTF">2020-05-27T00:45:29Z</dcterms:created>
  <dcterms:modified xsi:type="dcterms:W3CDTF">2021-05-07T18:18:33Z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0x0101008722A17313720D498652ED3D1F15B8E3</vt:lpwstr>
  </property>
</Properties>
</file>