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mc:AlternateContent xmlns:mc="http://schemas.openxmlformats.org/markup-compatibility/2006">
    <mc:Choice Requires="x15">
      <x15ac:absPath xmlns:x15ac="http://schemas.microsoft.com/office/spreadsheetml/2010/11/ac" url="X:\Joint Planning\LDRUpdate\AMDs\AMD17-0004-P17-052-Housing\"/>
    </mc:Choice>
  </mc:AlternateContent>
  <xr:revisionPtr revIDLastSave="0" documentId="13_ncr:1_{39744ABB-B648-4D34-A6A4-2B648F673345}" xr6:coauthVersionLast="43" xr6:coauthVersionMax="43" xr10:uidLastSave="{00000000-0000-0000-0000-000000000000}"/>
  <bookViews>
    <workbookView xWindow="30936" yWindow="84" windowWidth="25368" windowHeight="14616" tabRatio="702" xr2:uid="{00000000-000D-0000-FFFF-FFFF00000000}"/>
  </bookViews>
  <sheets>
    <sheet name="Amount" sheetId="8" r:id="rId1"/>
    <sheet name="Unit Type" sheetId="9" r:id="rId2"/>
    <sheet name="Method" sheetId="12" r:id="rId3"/>
    <sheet name="Independent Calc" sheetId="10" state="hidden" r:id="rId4"/>
    <sheet name="Source Amount (6.3.3)" sheetId="5" r:id="rId5"/>
    <sheet name="Source Unit Type Mix (6.3.4)" sheetId="6" r:id="rId6"/>
    <sheet name="Source In-Lieu Fee (6.3.5.D.5)" sheetId="4" r:id="rId7"/>
    <sheet name="Dropdowns" sheetId="2"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52" i="4" l="1"/>
  <c r="A53" i="4"/>
  <c r="A54" i="4"/>
  <c r="A55" i="4"/>
  <c r="A56" i="4"/>
  <c r="A57" i="4"/>
  <c r="A58" i="4"/>
  <c r="A59" i="4"/>
  <c r="A60" i="4"/>
  <c r="A61" i="4"/>
  <c r="A62" i="4"/>
  <c r="A51" i="4"/>
  <c r="C37" i="2"/>
  <c r="C29" i="2"/>
  <c r="A53" i="9"/>
  <c r="A54" i="9"/>
  <c r="A55" i="9"/>
  <c r="A56" i="9"/>
  <c r="A57" i="9"/>
  <c r="A58" i="9"/>
  <c r="A59" i="9"/>
  <c r="A49" i="9"/>
  <c r="A50" i="9"/>
  <c r="A51" i="9"/>
  <c r="A52" i="9"/>
  <c r="A48" i="9"/>
  <c r="A37" i="9"/>
  <c r="A38" i="9"/>
  <c r="A39" i="9"/>
  <c r="A40" i="9"/>
  <c r="A41" i="9"/>
  <c r="A42" i="9"/>
  <c r="A43" i="9"/>
  <c r="A44" i="9"/>
  <c r="A45" i="9"/>
  <c r="A46" i="9"/>
  <c r="A47" i="9"/>
  <c r="A36" i="9"/>
  <c r="F40" i="5"/>
  <c r="E40" i="5"/>
  <c r="D1" i="12" l="1"/>
  <c r="A1" i="12"/>
  <c r="H1" i="9"/>
  <c r="A1" i="9"/>
  <c r="J49" i="10" l="1"/>
  <c r="I49" i="10"/>
  <c r="H49" i="10"/>
  <c r="G49" i="10"/>
  <c r="F49" i="10"/>
  <c r="E49" i="10"/>
  <c r="D49" i="10"/>
  <c r="C49" i="10"/>
  <c r="J46" i="10"/>
  <c r="I46" i="10"/>
  <c r="H46" i="10"/>
  <c r="G46" i="10"/>
  <c r="F46" i="10"/>
  <c r="E46" i="10"/>
  <c r="D46" i="10"/>
  <c r="C46" i="10"/>
  <c r="J38" i="10"/>
  <c r="J41" i="10" s="1"/>
  <c r="I38" i="10"/>
  <c r="I41" i="10" s="1"/>
  <c r="H38" i="10"/>
  <c r="H41" i="10" s="1"/>
  <c r="G38" i="10"/>
  <c r="G41" i="10" s="1"/>
  <c r="F38" i="10"/>
  <c r="F41" i="10" s="1"/>
  <c r="E38" i="10"/>
  <c r="E41" i="10" s="1"/>
  <c r="D38" i="10"/>
  <c r="D41" i="10" s="1"/>
  <c r="C38" i="10"/>
  <c r="C41" i="10" s="1"/>
  <c r="J33" i="10"/>
  <c r="J36" i="10" s="1"/>
  <c r="I33" i="10"/>
  <c r="I36" i="10" s="1"/>
  <c r="H33" i="10"/>
  <c r="H36" i="10" s="1"/>
  <c r="G33" i="10"/>
  <c r="G36" i="10" s="1"/>
  <c r="F33" i="10"/>
  <c r="F36" i="10" s="1"/>
  <c r="E33" i="10"/>
  <c r="E36" i="10" s="1"/>
  <c r="D33" i="10"/>
  <c r="D36" i="10" s="1"/>
  <c r="C33" i="10"/>
  <c r="C36" i="10" s="1"/>
  <c r="J31" i="10"/>
  <c r="I31" i="10"/>
  <c r="H31" i="10"/>
  <c r="G31" i="10"/>
  <c r="F31" i="10"/>
  <c r="E31" i="10"/>
  <c r="D31" i="10"/>
  <c r="C31" i="10"/>
  <c r="J23" i="10"/>
  <c r="J43" i="10" s="1"/>
  <c r="I23" i="10"/>
  <c r="I26" i="10" s="1"/>
  <c r="I44" i="10" s="1"/>
  <c r="H23" i="10"/>
  <c r="H43" i="10" s="1"/>
  <c r="G23" i="10"/>
  <c r="G26" i="10" s="1"/>
  <c r="G44" i="10" s="1"/>
  <c r="F23" i="10"/>
  <c r="F43" i="10" s="1"/>
  <c r="E23" i="10"/>
  <c r="E26" i="10" s="1"/>
  <c r="E44" i="10" s="1"/>
  <c r="D23" i="10"/>
  <c r="D43" i="10" s="1"/>
  <c r="C23" i="10"/>
  <c r="C43" i="10" s="1"/>
  <c r="G50" i="10" l="1"/>
  <c r="G47" i="10"/>
  <c r="E50" i="10"/>
  <c r="E47" i="10"/>
  <c r="I50" i="10"/>
  <c r="I47" i="10"/>
  <c r="D26" i="10"/>
  <c r="D44" i="10" s="1"/>
  <c r="H26" i="10"/>
  <c r="H44" i="10" s="1"/>
  <c r="G43" i="10"/>
  <c r="E43" i="10"/>
  <c r="I43" i="10"/>
  <c r="C26" i="10"/>
  <c r="C44" i="10" s="1"/>
  <c r="F26" i="10"/>
  <c r="F44" i="10" s="1"/>
  <c r="J26" i="10"/>
  <c r="J44" i="10" s="1"/>
  <c r="B17" i="8"/>
  <c r="B16" i="8"/>
  <c r="B15" i="8"/>
  <c r="B14" i="8"/>
  <c r="B13" i="8"/>
  <c r="B27" i="8"/>
  <c r="B26" i="8"/>
  <c r="B25" i="8"/>
  <c r="B24" i="8"/>
  <c r="B23" i="8"/>
  <c r="C50" i="10" l="1"/>
  <c r="C47" i="10"/>
  <c r="D50" i="10"/>
  <c r="D47" i="10"/>
  <c r="J50" i="10"/>
  <c r="J47" i="10"/>
  <c r="H50" i="10"/>
  <c r="H47" i="10"/>
  <c r="F50" i="10"/>
  <c r="F47" i="10"/>
  <c r="K36" i="5"/>
  <c r="J36" i="5"/>
  <c r="I36" i="5"/>
  <c r="H36" i="5"/>
  <c r="G36" i="5"/>
  <c r="F36" i="5"/>
  <c r="E36" i="5"/>
  <c r="D36" i="5"/>
  <c r="G15" i="5" l="1"/>
  <c r="G32" i="5"/>
  <c r="G22" i="5"/>
  <c r="G25" i="5" s="1"/>
  <c r="G17" i="5"/>
  <c r="G20" i="5" s="1"/>
  <c r="G7" i="5"/>
  <c r="G10" i="5" s="1"/>
  <c r="G27" i="5" l="1"/>
  <c r="G28" i="5"/>
  <c r="G33" i="5" l="1"/>
  <c r="D10" i="2" s="1"/>
  <c r="G37" i="5"/>
  <c r="E10" i="2" s="1"/>
  <c r="R7" i="4"/>
  <c r="S7" i="4" s="1"/>
  <c r="Q8" i="4"/>
  <c r="Q6" i="4"/>
  <c r="Q5" i="4"/>
  <c r="O8" i="4"/>
  <c r="N8" i="4"/>
  <c r="N6" i="4"/>
  <c r="O6" i="4"/>
  <c r="N7" i="4"/>
  <c r="O7" i="4"/>
  <c r="O5" i="4"/>
  <c r="N5" i="4"/>
  <c r="P8" i="4" l="1"/>
  <c r="P5" i="4"/>
  <c r="P6" i="4"/>
  <c r="P7" i="4"/>
  <c r="J6" i="4"/>
  <c r="R6" i="4" s="1"/>
  <c r="S6" i="4" s="1"/>
  <c r="J5" i="4"/>
  <c r="D15" i="4"/>
  <c r="C15" i="4"/>
  <c r="B15" i="4"/>
  <c r="D14" i="4"/>
  <c r="D32" i="4" s="1"/>
  <c r="C14" i="4"/>
  <c r="B14" i="4"/>
  <c r="D13" i="4"/>
  <c r="C13" i="4"/>
  <c r="C31" i="4" s="1"/>
  <c r="B13" i="4"/>
  <c r="B31" i="4" s="1"/>
  <c r="D12" i="4"/>
  <c r="D39" i="4" s="1"/>
  <c r="C12" i="4"/>
  <c r="C39" i="4" s="1"/>
  <c r="B12" i="4"/>
  <c r="B39" i="4" s="1"/>
  <c r="B42" i="4" l="1"/>
  <c r="B29" i="4"/>
  <c r="C29" i="4"/>
  <c r="D41" i="4"/>
  <c r="C42" i="4"/>
  <c r="R8" i="4"/>
  <c r="S8" i="4" s="1"/>
  <c r="B3" i="4" s="1"/>
  <c r="R5" i="4"/>
  <c r="S5" i="4" s="1"/>
  <c r="D42" i="4"/>
  <c r="D40" i="4"/>
  <c r="D31" i="4"/>
  <c r="B40" i="4"/>
  <c r="C41" i="4"/>
  <c r="C40" i="4"/>
  <c r="D29" i="4"/>
  <c r="C32" i="4"/>
  <c r="B41" i="4"/>
  <c r="B30" i="4"/>
  <c r="C30" i="4"/>
  <c r="B32" i="4"/>
  <c r="D30" i="4"/>
  <c r="D46" i="4" l="1"/>
  <c r="B53" i="4" s="1"/>
  <c r="D47" i="4"/>
  <c r="B56" i="4" s="1"/>
  <c r="B48" i="4"/>
  <c r="B57" i="4" s="1"/>
  <c r="D49" i="4"/>
  <c r="B62" i="4" s="1"/>
  <c r="C49" i="4"/>
  <c r="B61" i="4" s="1"/>
  <c r="C48" i="4"/>
  <c r="B58" i="4" s="1"/>
  <c r="D48" i="4"/>
  <c r="B59" i="4" s="1"/>
  <c r="C46" i="4"/>
  <c r="B52" i="4" s="1"/>
  <c r="C47" i="4"/>
  <c r="B55" i="4" s="1"/>
  <c r="B46" i="4"/>
  <c r="B51" i="4" s="1"/>
  <c r="B47" i="4"/>
  <c r="B54" i="4" s="1"/>
  <c r="B49" i="4"/>
  <c r="B60" i="4" s="1"/>
  <c r="G48" i="6"/>
  <c r="G44" i="6"/>
  <c r="G41" i="6"/>
  <c r="F48" i="6"/>
  <c r="F44" i="6"/>
  <c r="F41" i="6"/>
  <c r="G50" i="6" l="1"/>
  <c r="C28" i="6"/>
  <c r="B26" i="6"/>
  <c r="B25" i="6"/>
  <c r="B24" i="6"/>
  <c r="B23" i="6"/>
  <c r="B22" i="6"/>
  <c r="B15" i="6"/>
  <c r="D18" i="6" s="1"/>
  <c r="B14" i="6"/>
  <c r="D14" i="6" s="1"/>
  <c r="K15" i="5"/>
  <c r="C24" i="6" l="1"/>
  <c r="D24" i="6"/>
  <c r="D27" i="6"/>
  <c r="C18" i="6"/>
  <c r="C27" i="6"/>
  <c r="C14" i="6"/>
  <c r="F32" i="5"/>
  <c r="D32" i="5"/>
  <c r="H32" i="5"/>
  <c r="I32" i="5"/>
  <c r="J32" i="5"/>
  <c r="K32" i="5"/>
  <c r="E32" i="5"/>
  <c r="K22" i="5" l="1"/>
  <c r="K25" i="5" s="1"/>
  <c r="K17" i="5"/>
  <c r="K20" i="5" s="1"/>
  <c r="J22" i="5"/>
  <c r="J25" i="5" s="1"/>
  <c r="I22" i="5"/>
  <c r="I25" i="5" s="1"/>
  <c r="H22" i="5"/>
  <c r="H25" i="5" s="1"/>
  <c r="D22" i="5"/>
  <c r="D25" i="5" s="1"/>
  <c r="F22" i="5"/>
  <c r="F25" i="5" s="1"/>
  <c r="E22" i="5"/>
  <c r="E25" i="5" s="1"/>
  <c r="J17" i="5"/>
  <c r="J20" i="5" s="1"/>
  <c r="I17" i="5"/>
  <c r="I20" i="5" s="1"/>
  <c r="H17" i="5"/>
  <c r="H20" i="5" s="1"/>
  <c r="D17" i="5"/>
  <c r="F17" i="5"/>
  <c r="F20" i="5" s="1"/>
  <c r="E17" i="5"/>
  <c r="E20" i="5" s="1"/>
  <c r="J15" i="5"/>
  <c r="I15" i="5"/>
  <c r="H15" i="5"/>
  <c r="D15" i="5"/>
  <c r="F15" i="5"/>
  <c r="E15" i="5"/>
  <c r="K7" i="5"/>
  <c r="J7" i="5"/>
  <c r="I7" i="5"/>
  <c r="H7" i="5"/>
  <c r="H10" i="5" s="1"/>
  <c r="D7" i="5"/>
  <c r="D10" i="5" s="1"/>
  <c r="F7" i="5"/>
  <c r="F10" i="5" s="1"/>
  <c r="E7" i="5"/>
  <c r="E10" i="5" s="1"/>
  <c r="K10" i="5" l="1"/>
  <c r="K28" i="5" s="1"/>
  <c r="K27" i="5"/>
  <c r="E28" i="5"/>
  <c r="F28" i="5"/>
  <c r="H28" i="5"/>
  <c r="I27" i="5"/>
  <c r="G41" i="5" s="1"/>
  <c r="J27" i="5"/>
  <c r="D27" i="5"/>
  <c r="D41" i="5" s="1"/>
  <c r="E27" i="5"/>
  <c r="H27" i="5"/>
  <c r="I10" i="5"/>
  <c r="I28" i="5" s="1"/>
  <c r="F27" i="5"/>
  <c r="D20" i="5"/>
  <c r="D28" i="5" s="1"/>
  <c r="J10" i="5"/>
  <c r="J28" i="5" s="1"/>
  <c r="F41" i="5" l="1"/>
  <c r="E41" i="5"/>
  <c r="F33" i="5"/>
  <c r="D9" i="2" s="1"/>
  <c r="F37" i="5"/>
  <c r="E9" i="2" s="1"/>
  <c r="D33" i="5"/>
  <c r="D7" i="2" s="1"/>
  <c r="D37" i="5"/>
  <c r="E7" i="2" s="1"/>
  <c r="E33" i="5"/>
  <c r="D8" i="2" s="1"/>
  <c r="E37" i="5"/>
  <c r="E8" i="2" s="1"/>
  <c r="J33" i="5"/>
  <c r="D6" i="2" s="1"/>
  <c r="J37" i="5"/>
  <c r="E6" i="2" s="1"/>
  <c r="K33" i="5"/>
  <c r="K37" i="5"/>
  <c r="I33" i="5"/>
  <c r="I37" i="5"/>
  <c r="H33" i="5"/>
  <c r="D11" i="2" s="1"/>
  <c r="H37" i="5"/>
  <c r="E11" i="2" s="1"/>
  <c r="I23" i="8" l="1"/>
  <c r="I14" i="8"/>
  <c r="I25" i="8"/>
  <c r="I24" i="8"/>
  <c r="I13" i="8"/>
  <c r="I17" i="8"/>
  <c r="I26" i="8"/>
  <c r="I15" i="8"/>
  <c r="I27" i="8"/>
  <c r="I16" i="8"/>
  <c r="I18" i="8" l="1"/>
  <c r="D29" i="8" s="1"/>
  <c r="F15" i="9" l="1"/>
  <c r="B15" i="9"/>
  <c r="E10" i="9"/>
  <c r="F10" i="9" s="1"/>
  <c r="E11" i="9"/>
  <c r="F11" i="9" s="1"/>
  <c r="D15" i="9"/>
  <c r="D16" i="9" s="1"/>
  <c r="E8" i="9"/>
  <c r="C15" i="9"/>
  <c r="C16" i="9" s="1"/>
  <c r="E9" i="9"/>
  <c r="F9" i="9" s="1"/>
  <c r="G30" i="9" l="1"/>
  <c r="F24" i="9"/>
  <c r="G24" i="9"/>
  <c r="F30" i="9"/>
  <c r="H24" i="9"/>
  <c r="H30" i="9"/>
  <c r="F8" i="9"/>
  <c r="E12" i="9"/>
  <c r="E15" i="9"/>
  <c r="B16" i="9"/>
  <c r="G32" i="9"/>
  <c r="F26" i="9"/>
  <c r="F32" i="9"/>
  <c r="H32" i="9"/>
  <c r="G11" i="9"/>
  <c r="H26" i="9"/>
  <c r="G26" i="9"/>
  <c r="H25" i="9"/>
  <c r="H31" i="9"/>
  <c r="G25" i="9"/>
  <c r="G31" i="9"/>
  <c r="F25" i="9"/>
  <c r="G10" i="9"/>
  <c r="F31" i="9"/>
  <c r="H23" i="9" l="1"/>
  <c r="G8" i="9"/>
  <c r="F29" i="9"/>
  <c r="H29" i="9"/>
  <c r="G23" i="9"/>
  <c r="F12" i="9"/>
  <c r="G29" i="9"/>
  <c r="F23" i="9"/>
  <c r="E16" i="9"/>
  <c r="F16" i="9"/>
  <c r="G9" i="9"/>
  <c r="D32" i="9" l="1"/>
  <c r="C32" i="9" s="1"/>
  <c r="B32" i="9" s="1"/>
  <c r="D31" i="9" l="1"/>
  <c r="C31" i="9" s="1"/>
  <c r="B31" i="9" s="1"/>
  <c r="D26" i="9"/>
  <c r="B47" i="9" s="1"/>
  <c r="B59" i="9" s="1"/>
  <c r="C26" i="9"/>
  <c r="D30" i="9" l="1"/>
  <c r="B46" i="9"/>
  <c r="B58" i="9" s="1"/>
  <c r="E31" i="9"/>
  <c r="B26" i="9"/>
  <c r="E32" i="9"/>
  <c r="C30" i="9" l="1"/>
  <c r="B30" i="9" s="1"/>
  <c r="E30" i="9" s="1"/>
  <c r="D29" i="9"/>
  <c r="D33" i="9" s="1"/>
  <c r="D24" i="9"/>
  <c r="B41" i="9" s="1"/>
  <c r="B53" i="9" s="1"/>
  <c r="B45" i="9"/>
  <c r="B57" i="9" s="1"/>
  <c r="E26" i="9"/>
  <c r="C29" i="9" l="1"/>
  <c r="B29" i="9" s="1"/>
  <c r="E29" i="9" s="1"/>
  <c r="C33" i="9" l="1"/>
  <c r="B23" i="9"/>
  <c r="B33" i="9"/>
  <c r="D25" i="9" l="1"/>
  <c r="B44" i="9" s="1"/>
  <c r="B56" i="9" s="1"/>
  <c r="B25" i="9"/>
  <c r="C25" i="9"/>
  <c r="C23" i="9"/>
  <c r="D23" i="9"/>
  <c r="B24" i="9"/>
  <c r="C24" i="9"/>
  <c r="B36" i="9"/>
  <c r="D27" i="9" l="1"/>
  <c r="B38" i="9"/>
  <c r="B50" i="9" s="1"/>
  <c r="B42" i="9"/>
  <c r="B54" i="9" s="1"/>
  <c r="B37" i="9"/>
  <c r="B43" i="9"/>
  <c r="B55" i="9" s="1"/>
  <c r="B48" i="9"/>
  <c r="B40" i="9"/>
  <c r="B39" i="9"/>
  <c r="B51" i="9" s="1"/>
  <c r="B27" i="9"/>
  <c r="E25" i="9"/>
  <c r="C27" i="9"/>
  <c r="E23" i="9"/>
  <c r="E24" i="9"/>
  <c r="B52" i="9" l="1"/>
  <c r="B49" i="9"/>
  <c r="B12" i="12" s="1" a="1"/>
  <c r="B12" i="12" s="1"/>
  <c r="B18" i="12" l="1" a="1"/>
  <c r="B18" i="12" s="1"/>
  <c r="C18" i="12" s="1"/>
  <c r="A18" i="12" a="1"/>
  <c r="A18" i="12" s="1"/>
  <c r="B9" i="12" a="1"/>
  <c r="B9" i="12" s="1"/>
  <c r="B13" i="12" a="1"/>
  <c r="B13" i="12" s="1"/>
  <c r="C13" i="12" s="1"/>
  <c r="D13" i="12" s="1"/>
  <c r="B14" i="12" a="1"/>
  <c r="B14" i="12" s="1"/>
  <c r="C14" i="12" s="1"/>
  <c r="D14" i="12" s="1"/>
  <c r="B15" i="12" a="1"/>
  <c r="B15" i="12" s="1"/>
  <c r="C15" i="12" s="1"/>
  <c r="D15" i="12" s="1"/>
  <c r="C12" i="12"/>
  <c r="D12" i="12" s="1"/>
  <c r="B20" i="12" a="1"/>
  <c r="B20" i="12" s="1"/>
  <c r="C20" i="12" s="1"/>
  <c r="D20" i="12" s="1"/>
  <c r="B19" i="12" a="1"/>
  <c r="B19" i="12" s="1"/>
  <c r="C19" i="12" s="1"/>
  <c r="D19" i="12" s="1"/>
  <c r="B21" i="12" a="1"/>
  <c r="B21" i="12" s="1"/>
  <c r="C21" i="12" s="1"/>
  <c r="D21" i="12" s="1"/>
  <c r="B16" i="12" a="1"/>
  <c r="B16" i="12" s="1"/>
  <c r="A19" i="12" a="1"/>
  <c r="A19" i="12" s="1"/>
  <c r="E19" i="12" s="1"/>
  <c r="B17" i="12" a="1"/>
  <c r="B17" i="12" s="1"/>
  <c r="C17" i="12" s="1"/>
  <c r="D17" i="12" s="1"/>
  <c r="B11" i="12" a="1"/>
  <c r="B11" i="12" s="1"/>
  <c r="C11" i="12" s="1"/>
  <c r="D11" i="12" s="1"/>
  <c r="B10" i="12" a="1"/>
  <c r="B10" i="12" s="1"/>
  <c r="C10" i="12" s="1"/>
  <c r="D10" i="12" s="1"/>
  <c r="A12" i="12" a="1"/>
  <c r="A12" i="12" s="1"/>
  <c r="E12" i="12" s="1"/>
  <c r="A17" i="12" a="1"/>
  <c r="A17" i="12" s="1"/>
  <c r="E17" i="12" s="1"/>
  <c r="A20" i="12" a="1"/>
  <c r="A20" i="12" s="1"/>
  <c r="E20" i="12" s="1"/>
  <c r="A21" i="12" a="1"/>
  <c r="A21" i="12" s="1"/>
  <c r="E21" i="12" s="1"/>
  <c r="C16" i="12"/>
  <c r="D16" i="12" s="1"/>
  <c r="A9" i="12" a="1"/>
  <c r="A9" i="12" s="1"/>
  <c r="E9" i="12" s="1"/>
  <c r="A10" i="12" a="1"/>
  <c r="A10" i="12" s="1"/>
  <c r="E10" i="12" s="1"/>
  <c r="A15" i="12" a="1"/>
  <c r="A15" i="12" s="1"/>
  <c r="E15" i="12" s="1"/>
  <c r="A14" i="12" a="1"/>
  <c r="A14" i="12" s="1"/>
  <c r="E14" i="12" s="1"/>
  <c r="A13" i="12" a="1"/>
  <c r="A13" i="12" s="1"/>
  <c r="E13" i="12" s="1"/>
  <c r="A16" i="12" a="1"/>
  <c r="A16" i="12" s="1"/>
  <c r="E16" i="12" s="1"/>
  <c r="A11" i="12" a="1"/>
  <c r="A11" i="12" s="1"/>
  <c r="E11" i="12" s="1"/>
  <c r="C9" i="12" l="1"/>
  <c r="D9" i="12" s="1"/>
  <c r="B22" i="12"/>
  <c r="D22" i="12" l="1"/>
  <c r="H29" i="8" s="1"/>
</calcChain>
</file>

<file path=xl/sharedStrings.xml><?xml version="1.0" encoding="utf-8"?>
<sst xmlns="http://schemas.openxmlformats.org/spreadsheetml/2006/main" count="433" uniqueCount="313">
  <si>
    <t>Agriculture</t>
  </si>
  <si>
    <t>Outdoor Recreation</t>
  </si>
  <si>
    <t>Mobile Home</t>
  </si>
  <si>
    <t>Dormitory</t>
  </si>
  <si>
    <t>Group Home</t>
  </si>
  <si>
    <t>Conventional Lodging</t>
  </si>
  <si>
    <t>Short-Term Rental Unit</t>
  </si>
  <si>
    <t>Office</t>
  </si>
  <si>
    <t>Retail</t>
  </si>
  <si>
    <t>Service</t>
  </si>
  <si>
    <t>Restaurant/Bar</t>
  </si>
  <si>
    <t>Heavy Retail/Service</t>
  </si>
  <si>
    <t>Mini-Storage Warehouse</t>
  </si>
  <si>
    <t>Nursery</t>
  </si>
  <si>
    <t>Amusement</t>
  </si>
  <si>
    <t>Developed Recreation</t>
  </si>
  <si>
    <t>Outfitter/Tour Operator</t>
  </si>
  <si>
    <t>Adult Entertainment Business</t>
  </si>
  <si>
    <t>Assembly</t>
  </si>
  <si>
    <t>Light Industry</t>
  </si>
  <si>
    <t>Heavy Industry</t>
  </si>
  <si>
    <t>Disposal</t>
  </si>
  <si>
    <t>Parking</t>
  </si>
  <si>
    <t>Utility Facility</t>
  </si>
  <si>
    <t>Wireless Communication Facilities</t>
  </si>
  <si>
    <t>Heliport</t>
  </si>
  <si>
    <t>Accessory Residential Unit</t>
  </si>
  <si>
    <t>Bed and Breakfast</t>
  </si>
  <si>
    <t>Home Occupation</t>
  </si>
  <si>
    <t>Home Business</t>
  </si>
  <si>
    <t>Family Home Daycare</t>
  </si>
  <si>
    <t>Home Daycare Center</t>
  </si>
  <si>
    <t>Drive-In Facility</t>
  </si>
  <si>
    <t>Christmas Tree Sales</t>
  </si>
  <si>
    <t>Real Estate Sales Office</t>
  </si>
  <si>
    <t>Temporary Shelter</t>
  </si>
  <si>
    <t>Farm Stand</t>
  </si>
  <si>
    <t>Temp. Gravel Extraction and Processing</t>
  </si>
  <si>
    <t>Use</t>
  </si>
  <si>
    <t>Exempt</t>
  </si>
  <si>
    <t>Total</t>
  </si>
  <si>
    <t>Affordable Housing Unit</t>
  </si>
  <si>
    <t>Workforce Housing Unit</t>
  </si>
  <si>
    <t>Detached Single-Family Unit (Unrestricted)</t>
  </si>
  <si>
    <t>Attached Single-Family Unit (Unrestricted)</t>
  </si>
  <si>
    <t>Apartment (Unrestricted)</t>
  </si>
  <si>
    <t>Detached Single-Family Unit (Local Occupancy)</t>
  </si>
  <si>
    <t>Attached Single-Family Unit (Local Occupancy)</t>
  </si>
  <si>
    <t>Apartment (Local Occupancy)</t>
  </si>
  <si>
    <t>Affordability</t>
  </si>
  <si>
    <t>2 Bedroom</t>
  </si>
  <si>
    <t>3 Bedroom</t>
  </si>
  <si>
    <t>Affordable to 50% Median Income</t>
  </si>
  <si>
    <t>Affordable to 80% Median Income</t>
  </si>
  <si>
    <t>Affordable to 120% Median Income</t>
  </si>
  <si>
    <t>Workforce Restriction</t>
  </si>
  <si>
    <t>Bedroom Mix</t>
  </si>
  <si>
    <t>Proposed</t>
  </si>
  <si>
    <t>Construction</t>
  </si>
  <si>
    <t>Institutional</t>
  </si>
  <si>
    <t>Industrial</t>
  </si>
  <si>
    <t>Lodging</t>
  </si>
  <si>
    <t>employees per unit</t>
  </si>
  <si>
    <t>Post-Construction</t>
  </si>
  <si>
    <t>employees per 1,000 sf/room</t>
  </si>
  <si>
    <t>units per 1,000 sf/room</t>
  </si>
  <si>
    <t>Length of Construction Career</t>
  </si>
  <si>
    <t>employees per 1,000 sf</t>
  </si>
  <si>
    <t>sf per room</t>
  </si>
  <si>
    <t>Fire/EMS employees per 1000 sf</t>
  </si>
  <si>
    <t>Fire/EMS units per 1000 sf</t>
  </si>
  <si>
    <t>Law employees per 1000 sf</t>
  </si>
  <si>
    <t>Law units per 1000 sf</t>
  </si>
  <si>
    <t>Fire/EMS</t>
  </si>
  <si>
    <t>Law Enforcement</t>
  </si>
  <si>
    <t>Employees who can afford</t>
  </si>
  <si>
    <t>employees who can afford</t>
  </si>
  <si>
    <t>Employees per 1000 sf/room</t>
  </si>
  <si>
    <t>Custom %</t>
  </si>
  <si>
    <t>Customization Rules</t>
  </si>
  <si>
    <t>LDR Schedule</t>
  </si>
  <si>
    <t>1 Bed/Studio</t>
  </si>
  <si>
    <t>Total Employees Housed</t>
  </si>
  <si>
    <t>Customization Rule</t>
  </si>
  <si>
    <t>Employees per Unit per LDRs</t>
  </si>
  <si>
    <t>Requirement Distribution</t>
  </si>
  <si>
    <t>Even Distribution</t>
  </si>
  <si>
    <t>Proposed Allocation</t>
  </si>
  <si>
    <t>Proposed total sall be &gt;= Required</t>
  </si>
  <si>
    <t>Total Units</t>
  </si>
  <si>
    <t>Workorce Housing Bonus Unit</t>
  </si>
  <si>
    <t>Residential</t>
  </si>
  <si>
    <t>HOUSEHOLD INCOME IN THE PAST 12 MONTHS (IN 2016 INFLATION-ADJUSTED DOLLARS)</t>
  </si>
  <si>
    <t>Universe: Households</t>
  </si>
  <si>
    <t>2012-2016 American Community Survey 5-Year Estimates</t>
  </si>
  <si>
    <t>Teton County, Wyoming</t>
  </si>
  <si>
    <t>HMI ~ $75,000</t>
  </si>
  <si>
    <t>Estimate</t>
  </si>
  <si>
    <t>Total:</t>
  </si>
  <si>
    <t xml:space="preserve">  Less than $10,000</t>
  </si>
  <si>
    <t xml:space="preserve">  $10,000 to $14,999</t>
  </si>
  <si>
    <t xml:space="preserve">  $15,000 to $19,999</t>
  </si>
  <si>
    <t xml:space="preserve">  $20,000 to $24,999</t>
  </si>
  <si>
    <t xml:space="preserve">  $25,000 to $29,999</t>
  </si>
  <si>
    <t xml:space="preserve">  $30,000 to $34,999</t>
  </si>
  <si>
    <t xml:space="preserve">  $35,000 to $39,999</t>
  </si>
  <si>
    <t>$35,000 - $37,499</t>
  </si>
  <si>
    <t>$37,500 - $39,999</t>
  </si>
  <si>
    <t xml:space="preserve">  $40,000 to $44,999</t>
  </si>
  <si>
    <t xml:space="preserve">  $45,000 to $49,999</t>
  </si>
  <si>
    <t xml:space="preserve">  $50,000 to $59,999</t>
  </si>
  <si>
    <t xml:space="preserve">  $60,000 to $74,999</t>
  </si>
  <si>
    <t xml:space="preserve">  $75,000 to $99,999</t>
  </si>
  <si>
    <t xml:space="preserve">  $100,000 to $124,999</t>
  </si>
  <si>
    <t>$100,000 - $104,999</t>
  </si>
  <si>
    <t>$105,000 - $109,999</t>
  </si>
  <si>
    <t>$110,000 - $114,999</t>
  </si>
  <si>
    <t>$115,000 - $119,999</t>
  </si>
  <si>
    <t>$120,000 - $124,999</t>
  </si>
  <si>
    <t xml:space="preserve">  $125,000 to $149,999</t>
  </si>
  <si>
    <t xml:space="preserve">  $150,000 to $199,999</t>
  </si>
  <si>
    <t xml:space="preserve">  $200,000 or more</t>
  </si>
  <si>
    <t>Median = $75,594</t>
  </si>
  <si>
    <t>Custom % shall be ≥ 25%</t>
  </si>
  <si>
    <t>Custom % shall be &lt; 43%</t>
  </si>
  <si>
    <t>B08202: HOUSEHOLD SIZE BY NUMBER OF WORKERS IN HOUSEHOLD - Universe: Households</t>
  </si>
  <si>
    <t/>
  </si>
  <si>
    <t xml:space="preserve">    No workers</t>
  </si>
  <si>
    <t xml:space="preserve">    1 worker</t>
  </si>
  <si>
    <t xml:space="preserve">    2 workers</t>
  </si>
  <si>
    <t xml:space="preserve">    3 or more workers</t>
  </si>
  <si>
    <t xml:space="preserve">  1-person household:</t>
  </si>
  <si>
    <t>1 Bedroom</t>
  </si>
  <si>
    <t xml:space="preserve">  2-person household:</t>
  </si>
  <si>
    <t xml:space="preserve">  3-person household:</t>
  </si>
  <si>
    <t xml:space="preserve">    3 workers</t>
  </si>
  <si>
    <t xml:space="preserve">  4-or-more-person household:</t>
  </si>
  <si>
    <t>Assumed Employees per Bedroom</t>
  </si>
  <si>
    <t>Allocation</t>
  </si>
  <si>
    <t>174 N. King St.</t>
  </si>
  <si>
    <t>Grove Phase 2</t>
  </si>
  <si>
    <r>
      <t xml:space="preserve">Median Income by Persons in Household </t>
    </r>
    <r>
      <rPr>
        <sz val="11"/>
        <color rgb="FFC00000"/>
        <rFont val="Calibri"/>
        <family val="2"/>
        <scheme val="minor"/>
      </rPr>
      <t>(HUD)</t>
    </r>
  </si>
  <si>
    <t>Occupancy standards in Rules and Regulations</t>
  </si>
  <si>
    <t>Bedrooms</t>
  </si>
  <si>
    <t>Heads</t>
  </si>
  <si>
    <t>Dependents</t>
  </si>
  <si>
    <t>Dependants</t>
  </si>
  <si>
    <t>1 or 2</t>
  </si>
  <si>
    <t>0 or 1</t>
  </si>
  <si>
    <t>1+</t>
  </si>
  <si>
    <t>2+</t>
  </si>
  <si>
    <t>1 bed</t>
  </si>
  <si>
    <t>2 bed</t>
  </si>
  <si>
    <t>3 bed</t>
  </si>
  <si>
    <r>
      <t xml:space="preserve">Most Recent Housing Departement developments </t>
    </r>
    <r>
      <rPr>
        <sz val="11"/>
        <color rgb="FFC00000"/>
        <rFont val="Calibri"/>
        <family val="2"/>
        <scheme val="minor"/>
      </rPr>
      <t>(source: Housing Department)</t>
    </r>
  </si>
  <si>
    <t>Land</t>
  </si>
  <si>
    <t>Gross sf</t>
  </si>
  <si>
    <t>Livable sf</t>
  </si>
  <si>
    <t>Redmond Street Rentals</t>
  </si>
  <si>
    <t>Land was purchased in 2014 for $3,645,000, estmated value to day is about $4.5M.</t>
  </si>
  <si>
    <r>
      <t xml:space="preserve">Unit sizes in most recent Housing Department developments </t>
    </r>
    <r>
      <rPr>
        <sz val="11"/>
        <color rgb="FFC00000"/>
        <rFont val="Calibri"/>
        <family val="2"/>
        <scheme val="minor"/>
      </rPr>
      <t>(source: Housing Department)</t>
    </r>
  </si>
  <si>
    <t>Studio</t>
  </si>
  <si>
    <t>1 Bed</t>
  </si>
  <si>
    <t>174 N. King St</t>
  </si>
  <si>
    <t>Grove Phase 1</t>
  </si>
  <si>
    <t>designed as market units</t>
  </si>
  <si>
    <r>
      <t xml:space="preserve">Max Rental Rate </t>
    </r>
    <r>
      <rPr>
        <sz val="11"/>
        <color rgb="FFC00000"/>
        <rFont val="Calibri"/>
        <family val="2"/>
        <scheme val="minor"/>
      </rPr>
      <t>(based on Rules and Regulations that rent shall be based on low end of range spending 30% of income on rent, including utilities)</t>
    </r>
  </si>
  <si>
    <r>
      <t xml:space="preserve">Cap Rate </t>
    </r>
    <r>
      <rPr>
        <sz val="11"/>
        <color rgb="FFC00000"/>
        <rFont val="Calibri"/>
        <family val="2"/>
        <scheme val="minor"/>
      </rPr>
      <t>(set by policy in LDRs based on reasonable industry standard)</t>
    </r>
  </si>
  <si>
    <r>
      <rPr>
        <b/>
        <sz val="11"/>
        <color theme="1"/>
        <rFont val="Calibri"/>
        <family val="2"/>
        <scheme val="minor"/>
      </rPr>
      <t>Maximum Sales Price</t>
    </r>
    <r>
      <rPr>
        <sz val="11"/>
        <color theme="1"/>
        <rFont val="Calibri"/>
        <family val="2"/>
        <scheme val="minor"/>
      </rPr>
      <t xml:space="preserve"> </t>
    </r>
    <r>
      <rPr>
        <sz val="11"/>
        <color rgb="FFC00000"/>
        <rFont val="Calibri"/>
        <family val="2"/>
        <scheme val="minor"/>
      </rPr>
      <t>(based on Rules and Regulations that sales price shall be based on the middle of the range and use the mortgage terms at right)</t>
    </r>
    <r>
      <rPr>
        <sz val="11"/>
        <color theme="1"/>
        <rFont val="Calibri"/>
        <family val="2"/>
        <scheme val="minor"/>
      </rPr>
      <t xml:space="preserve"> </t>
    </r>
  </si>
  <si>
    <t>percent of income toward mortgage payment</t>
  </si>
  <si>
    <t>percent down</t>
  </si>
  <si>
    <t>mortgage term</t>
  </si>
  <si>
    <r>
      <rPr>
        <b/>
        <sz val="11"/>
        <color theme="1"/>
        <rFont val="Calibri"/>
        <family val="2"/>
        <scheme val="minor"/>
      </rPr>
      <t>Fee In-Lieu</t>
    </r>
    <r>
      <rPr>
        <sz val="11"/>
        <color theme="1"/>
        <rFont val="Calibri"/>
        <family val="2"/>
        <scheme val="minor"/>
      </rPr>
      <t xml:space="preserve"> </t>
    </r>
    <r>
      <rPr>
        <sz val="11"/>
        <color rgb="FFC00000"/>
        <rFont val="Calibri"/>
        <family val="2"/>
        <scheme val="minor"/>
      </rPr>
      <t>(based on 6.3.4.B.1.a-b that the lower income ranges must be rental and assuming the higher ranges will be sold)</t>
    </r>
  </si>
  <si>
    <t>Units</t>
  </si>
  <si>
    <t>Gross/Unit</t>
  </si>
  <si>
    <t>Livable/Unit</t>
  </si>
  <si>
    <t>Land/Gross</t>
  </si>
  <si>
    <t>Construct/Gross</t>
  </si>
  <si>
    <t>Total/Gross</t>
  </si>
  <si>
    <t>Land was purchased in 2010, $2,000,000 is the estmated value in 2018 based on comps, gross sf for land cost per gross sf includes 1915 sf of retail</t>
  </si>
  <si>
    <t>Gross/Livable</t>
  </si>
  <si>
    <r>
      <rPr>
        <b/>
        <sz val="11"/>
        <color theme="1"/>
        <rFont val="Calibri"/>
        <family val="2"/>
        <scheme val="minor"/>
      </rPr>
      <t>Average Livable Size</t>
    </r>
    <r>
      <rPr>
        <sz val="11"/>
        <color theme="1"/>
        <rFont val="Calibri"/>
        <family val="2"/>
        <scheme val="minor"/>
      </rPr>
      <t xml:space="preserve"> </t>
    </r>
    <r>
      <rPr>
        <sz val="11"/>
        <color rgb="FFC00000"/>
        <rFont val="Calibri"/>
        <family val="2"/>
        <scheme val="minor"/>
      </rPr>
      <t>(set by policy in LDRs, recent Housing Department developments at right for reference)</t>
    </r>
  </si>
  <si>
    <r>
      <rPr>
        <b/>
        <sz val="11"/>
        <color theme="1"/>
        <rFont val="Calibri"/>
        <family val="2"/>
        <scheme val="minor"/>
      </rPr>
      <t>Cost per Livable sf</t>
    </r>
    <r>
      <rPr>
        <sz val="11"/>
        <color theme="1"/>
        <rFont val="Calibri"/>
        <family val="2"/>
        <scheme val="minor"/>
      </rPr>
      <t xml:space="preserve"> </t>
    </r>
    <r>
      <rPr>
        <sz val="11"/>
        <color rgb="FFC00000"/>
        <rFont val="Calibri"/>
        <family val="2"/>
        <scheme val="minor"/>
      </rPr>
      <t>(based on most recent projects currently being developed, see equation)</t>
    </r>
  </si>
  <si>
    <t>Mini Storage</t>
  </si>
  <si>
    <t>Town Yearround mitigation "rate"</t>
  </si>
  <si>
    <t>Town Reduction factor</t>
  </si>
  <si>
    <t>Town Required units per 1,000 sf/room</t>
  </si>
  <si>
    <t>County Yearround mitigation "rate"</t>
  </si>
  <si>
    <t>County Reduction factor</t>
  </si>
  <si>
    <t>County Required units per 1,000 sf/room</t>
  </si>
  <si>
    <t>Town Rate</t>
  </si>
  <si>
    <t>County Rate</t>
  </si>
  <si>
    <t>Dude/Guest Ranch</t>
  </si>
  <si>
    <t>Campground</t>
  </si>
  <si>
    <t>Aviation</t>
  </si>
  <si>
    <t>Housing Mitigation Plan</t>
  </si>
  <si>
    <t>Step 2: Existing Development</t>
  </si>
  <si>
    <t>Town of Jackson</t>
  </si>
  <si>
    <t>Alta</t>
  </si>
  <si>
    <t>Elsewhere in Teton County</t>
  </si>
  <si>
    <t>Housing Requirement (Sec. 6.3.3.A)</t>
  </si>
  <si>
    <t>Use Size: bedrooms</t>
  </si>
  <si>
    <t>Step 1: Location</t>
  </si>
  <si>
    <t>0.000017*sf+(Exp(-15.49+1.59*Ln(sf)))/2.176</t>
  </si>
  <si>
    <t>Use Size: habitable sf</t>
  </si>
  <si>
    <t>Housing Required</t>
  </si>
  <si>
    <t>Use Quantity</t>
  </si>
  <si>
    <t>Proposed Use</t>
  </si>
  <si>
    <t>Step 3: Proposed Development</t>
  </si>
  <si>
    <t>Affordable Workforce Housing Required:</t>
  </si>
  <si>
    <t>units</t>
  </si>
  <si>
    <t>Fee-in-Lieu Amount:</t>
  </si>
  <si>
    <t>Location</t>
  </si>
  <si>
    <t>Teton County</t>
  </si>
  <si>
    <t>0.000017*sf+(Exp(-14.17+1.59*Ln(sf)))/2.176</t>
  </si>
  <si>
    <t>0.000017*sf+(Exp(-16.14+1.59*Ln(sf)))/2.176</t>
  </si>
  <si>
    <t>0.000017*sf+(Exp(-14.82+1.59*Ln(sf)))/2.176</t>
  </si>
  <si>
    <t>Detached (Unrestricted)</t>
  </si>
  <si>
    <t>Detached (Local)</t>
  </si>
  <si>
    <t>Attached (Unrestricted)</t>
  </si>
  <si>
    <t>Attached (Local)</t>
  </si>
  <si>
    <t>Retail/Service/etc.</t>
  </si>
  <si>
    <t>Mini-Storage</t>
  </si>
  <si>
    <t>Independent Calcs</t>
  </si>
  <si>
    <t>independent calculation</t>
  </si>
  <si>
    <t>exempt</t>
  </si>
  <si>
    <t>Units Affordable to Households making 50% Median Income</t>
  </si>
  <si>
    <t>Units Affordable to Households making 80% Median Income</t>
  </si>
  <si>
    <t>Units Affordable to Households making 120% Median Income</t>
  </si>
  <si>
    <t>Workforce Units</t>
  </si>
  <si>
    <r>
      <t xml:space="preserve">Custom % shall be </t>
    </r>
    <r>
      <rPr>
        <sz val="10"/>
        <color theme="1"/>
        <rFont val="Calibri"/>
        <family val="2"/>
      </rPr>
      <t xml:space="preserve">≥ </t>
    </r>
    <r>
      <rPr>
        <sz val="10"/>
        <color theme="1"/>
        <rFont val="Calibri"/>
        <family val="2"/>
        <scheme val="minor"/>
      </rPr>
      <t>19%</t>
    </r>
  </si>
  <si>
    <r>
      <t xml:space="preserve">Custom % shall be </t>
    </r>
    <r>
      <rPr>
        <sz val="10"/>
        <color theme="1"/>
        <rFont val="Calibri"/>
        <family val="2"/>
      </rPr>
      <t>&lt; 13</t>
    </r>
    <r>
      <rPr>
        <sz val="10"/>
        <color theme="1"/>
        <rFont val="Calibri"/>
        <family val="2"/>
        <scheme val="minor"/>
      </rPr>
      <t>%</t>
    </r>
  </si>
  <si>
    <t>Step 4: Type of Units Required</t>
  </si>
  <si>
    <t>Step 5: Distribution of Affordability by Unit Size</t>
  </si>
  <si>
    <t>Unit Types</t>
  </si>
  <si>
    <t>1 bed, &lt; 50% Median Income</t>
  </si>
  <si>
    <t>2 bed, &lt; 50% Median Income</t>
  </si>
  <si>
    <t>3 bed, &lt; 50% Median Income</t>
  </si>
  <si>
    <t>1 bed, Workforce</t>
  </si>
  <si>
    <t>2 bed, Workforce</t>
  </si>
  <si>
    <t>3 bed, Workforce</t>
  </si>
  <si>
    <t>3 bed, &lt; 120% Median Income</t>
  </si>
  <si>
    <t>2 bed, &lt; 120% Median Income</t>
  </si>
  <si>
    <t>1 bed, &lt; 120% Median Income</t>
  </si>
  <si>
    <t>3 bed, &lt; 80% Median Income</t>
  </si>
  <si>
    <t>2 bed, &lt; 80% Median Income</t>
  </si>
  <si>
    <t>1 bed, &lt; 80% Median Income</t>
  </si>
  <si>
    <t>Methods</t>
  </si>
  <si>
    <t>Land Dedication</t>
  </si>
  <si>
    <t>Banked Unit</t>
  </si>
  <si>
    <t>Existing Unit</t>
  </si>
  <si>
    <t>Fee In-Lieu</t>
  </si>
  <si>
    <t>Existing Use (Sec. 6.3.2.A)</t>
  </si>
  <si>
    <t>Junkyard</t>
  </si>
  <si>
    <t>Gravel Extraction and Processing</t>
  </si>
  <si>
    <t>Existing Workforce Housing Credit</t>
  </si>
  <si>
    <t>Restaurant Bar</t>
  </si>
  <si>
    <t>Independent Calculation</t>
  </si>
  <si>
    <t>Independent Calc Use</t>
  </si>
  <si>
    <t>Type of Construction</t>
  </si>
  <si>
    <t>Post-Construction Employees</t>
  </si>
  <si>
    <t xml:space="preserve">Comparable </t>
  </si>
  <si>
    <t>Size</t>
  </si>
  <si>
    <t>Employees</t>
  </si>
  <si>
    <t>Average Annual Salary</t>
  </si>
  <si>
    <t>Specific Type of Business</t>
  </si>
  <si>
    <t>Types of Construction</t>
  </si>
  <si>
    <t>Finished</t>
  </si>
  <si>
    <t>Unfinished</t>
  </si>
  <si>
    <t>50% Finished</t>
  </si>
  <si>
    <t>Define Construction Worker Generation</t>
  </si>
  <si>
    <t xml:space="preserve">The type of construction determines the number of construction employees generated by the construction. Generally the numbers are based on the habitable space being finished (e.g. office, retail, lodging, residential), unfinished (e.g. mini storage, industrial), or half finished (e.g. institutional). If you select one of those options from the drop down, the appropriate values will populate in the calculator. If you select "Define Construction Worker Generation" the values in the calculator will turn red until you populate them. If you select "Define Construction Worker Generation" please attach an explanation of the values you entered. </t>
  </si>
  <si>
    <t>Daycare</t>
  </si>
  <si>
    <t>Education</t>
  </si>
  <si>
    <t>Housing Department Applications as of</t>
  </si>
  <si>
    <r>
      <t xml:space="preserve">Annual Utilities/HOA </t>
    </r>
    <r>
      <rPr>
        <sz val="11"/>
        <color rgb="FFC00000"/>
        <rFont val="Calibri"/>
        <family val="2"/>
        <scheme val="minor"/>
      </rPr>
      <t>(estimate from Housing Department)</t>
    </r>
  </si>
  <si>
    <t>The applicable regulations vary by jurisdiction please identify the location of your project using the above dropdown options.</t>
  </si>
  <si>
    <t>The required housing is based on the existing and proposed use of the site. Step 2 is to enter the existing use and Step 3 is to enter the proposed use. Section 6.3.2 of the LDRs establishes the applicability of the affordable workforce housing standards and Section 6.3.3 establishes the specifics on calculation of the requirement. Enter each use in its own row, add rows if needed. If a building has multiple units with the same use, describe each unit in its own row. (For example: if a duplex is composed of a 2,300 sf attached unit and a 1,700 sf attached unit, put each unit in its own row do not put in 4,000 sf of attached single-family.) If a unit type (e.g. apartment floor plan, or commercial tennant space) is replicated exactly multiple times, you may use the "Use Quantity" column to avoid adding multiple rows.</t>
  </si>
  <si>
    <t xml:space="preserve">Housing is only required for new development. Please describe the existing use of the site so that it can be credited from the housing requirement. The definition of existing use is Section 6.3.2.A.1 of the LDRs. Generally, the existing use to enter is the use with the highest housing requirement that either existed in 1995, or has been permitted since 1995. Please attach proof of existence.  </t>
  </si>
  <si>
    <t>Please describe the proposed use of the site to determine if affordable workforce housing is required as part of the development. Describe the end result of the proposed development. (For example: in the case of an addition do not enter the square footage of the addition, enter the size of the unit upon completion of the addition.)</t>
  </si>
  <si>
    <t>The Proposed total shall be greater than or equal to the Schedule total</t>
  </si>
  <si>
    <t>Circulation or Nonhabitable Space</t>
  </si>
  <si>
    <t>Historic Structure From Elsewhere</t>
  </si>
  <si>
    <t>Credit for Historic Structure Preserved On Site</t>
  </si>
  <si>
    <t>Development of a new house, hotel, or commercial space generates the need for employees. The construction workforce builds the space, the commercial workforce or residential service workforce works in the space, and first responders are needed to protect the space. Only about 27% of the employees generated by development can afford housing in the community, but the community's "community first" character goal is that 65% of employees live locally. To bridge this affordability gap, each development is required to include affordable workforce housing proportional to the employees it generates. 
These housing mitigation requirements are established in Division 6.3 of the Land Development Regulations. This worksheet is intended to assist in meeting the requirements for a project. However, an error in the worksheet does not amend the actual standard; if you find an error please notify the Planning Department. Fill in the highlighted cells, all the other cells will autopopulate.</t>
  </si>
  <si>
    <t>Historic Structure Preserved On Site</t>
  </si>
  <si>
    <t>20-year average interest rate</t>
  </si>
  <si>
    <r>
      <rPr>
        <b/>
        <sz val="11"/>
        <color theme="1"/>
        <rFont val="Calibri"/>
        <family val="2"/>
        <scheme val="minor"/>
      </rPr>
      <t>Median Income</t>
    </r>
    <r>
      <rPr>
        <sz val="11"/>
        <color theme="1"/>
        <rFont val="Calibri"/>
        <family val="2"/>
        <scheme val="minor"/>
      </rPr>
      <t xml:space="preserve"> </t>
    </r>
    <r>
      <rPr>
        <sz val="11"/>
        <color rgb="FFC00000"/>
        <rFont val="Calibri"/>
        <family val="2"/>
        <scheme val="minor"/>
      </rPr>
      <t>(based on most recent HUD Family Median Income applied to housing department in-take data based on Rules and Regulations occupancy requirements)</t>
    </r>
  </si>
  <si>
    <t>Nexus Study Calculation (Or Subsequent Codified Independent Calculation)</t>
  </si>
  <si>
    <t>2018 Policy Decision Upon Adoption</t>
  </si>
  <si>
    <t>Town</t>
  </si>
  <si>
    <t>County</t>
  </si>
  <si>
    <t>The  LDRs include a schedule for how many units have to be affordable to each income range and how many units have to have 1, 2, or 3 bedrooms. The LDRs also allow for adjustment, subject to approval by the Housing Director. To propose an adjusted allocation, change the values in the gold cells; the customized allocation must meet the customization rules provided. If a rule is violated, the cell will turn red. See also Section 6.3.4 of the LDRs.</t>
  </si>
  <si>
    <t>The bedroom mix must be proportionaly distributed among the affordability mix. If you modify the distribution (gold cells) the totals must match your allocation totals (they will turn red if they do not). A customized distribution should be within 1 (rounded up or down) of the even distribution displayed (it will turn red if it is not). See also Section 6.3.4 of the LDRs.</t>
  </si>
  <si>
    <t>Step 6: Method of Housing Unit Provision</t>
  </si>
  <si>
    <t>Unit Type</t>
  </si>
  <si>
    <t>Method</t>
  </si>
  <si>
    <t>updated 6/11/19</t>
  </si>
  <si>
    <t>On-Site Construction</t>
  </si>
  <si>
    <t>Off-Site Construction</t>
  </si>
  <si>
    <t>Instructions</t>
  </si>
  <si>
    <t>Method for Providing the Required Units (Sec. 6.3.5)</t>
  </si>
  <si>
    <t>Type of Units Required (Sec. 6.3.4)</t>
  </si>
  <si>
    <t>Calculating the Requirement (Sec. 6.3.2 &amp; 6.3.3)</t>
  </si>
  <si>
    <t>Total Units:</t>
  </si>
  <si>
    <t>Fee In-Lieu:</t>
  </si>
  <si>
    <r>
      <t xml:space="preserve">If the amount of required affordable workforce housing  is less than one unit, you may pay the above fee in-lieu of providing the required housing. If you elect to pay the fee, your Housing Mitgation Plan is complete. If the requirement is greater than one unit, or you would like to provide a unit to meet the requirement, please proceed to the </t>
    </r>
    <r>
      <rPr>
        <u/>
        <sz val="9"/>
        <color theme="8"/>
        <rFont val="Calibri"/>
        <family val="2"/>
        <scheme val="minor"/>
      </rPr>
      <t>Unit Type Sheet</t>
    </r>
    <r>
      <rPr>
        <sz val="9"/>
        <color theme="1"/>
        <rFont val="Calibri"/>
        <family val="2"/>
        <scheme val="minor"/>
      </rPr>
      <t>.</t>
    </r>
  </si>
  <si>
    <r>
      <t xml:space="preserve">Once you have determined the proposed distribution please fill out the </t>
    </r>
    <r>
      <rPr>
        <u/>
        <sz val="9"/>
        <color theme="8"/>
        <rFont val="Calibri"/>
        <family val="2"/>
        <scheme val="minor"/>
      </rPr>
      <t>Method Sheet</t>
    </r>
    <r>
      <rPr>
        <sz val="9"/>
        <color theme="1"/>
        <rFont val="Calibri"/>
        <family val="2"/>
        <scheme val="minor"/>
      </rPr>
      <t xml:space="preserve"> regarding how the required housing will be provided.</t>
    </r>
  </si>
  <si>
    <t>Step 7: Attachments</t>
  </si>
  <si>
    <t>Please attach to this worksheet any demonstration of existence, independent calculation, rationale for adjustment of unit type, rationale for the proposed method, documentation of the proposed method that is requried by Division 6.3. Please contact the Planning Department with any questions. Information regarding the source of the numbers in this worksheet is available in the Source Sheets.</t>
  </si>
  <si>
    <t>Page 2</t>
  </si>
  <si>
    <t>Page 3</t>
  </si>
  <si>
    <t>The LDRs require that unlesss impractical, any housing requirement of 1 unit or greater be provided through consturction of housing. If impractical, the units my be provided by dedication of land, use of a banked unit, or restriction of an existing unit. Only as a last option shall a fee be paid. The distribution of housing types selected in Step 5 is reflected in the chart below. The default method for providing a whole housing unit is on-site construction. If you would like to propose an alternate method, or provide the requirement through various methods, adjust the gold cells. A red cell indicates the adjustment does not match Step 5. The intructions cell indicates the standards that apply to each method. In addition, each unit shall comply with the Jackson Teton/County Housing Department Rules and Regulations. Response to the applicable standards shall be provided with this Housing Mitigation Plan. The in-lieu fee will calculate.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</si>
</sst>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
    <numFmt numFmtId="165" formatCode="0.00000"/>
    <numFmt numFmtId="166" formatCode="0.000"/>
    <numFmt numFmtId="167" formatCode="_(&quot;$&quot;* #,##0_);_(&quot;$&quot;* \(#,##0\);_(&quot;$&quot;* &quot;-&quot;??_);_(@_)"/>
    <numFmt numFmtId="168" formatCode="_(* #,##0_);_(* \(#,##0\);_(* &quot;-&quot;??_);_(@_)"/>
    <numFmt numFmtId="169" formatCode="&quot;$&quot;#,##0.00"/>
  </numFmts>
  <fonts count="29">
    <font>
      <sz val="11"/>
      <color theme="1"/>
      <name val="Calibri"/>
      <family val="2"/>
      <scheme val="minor"/>
    </font>
    <font>
      <sz val="11"/>
      <color theme="1"/>
      <name val="Arial"/>
      <family val="2"/>
    </font>
    <font>
      <sz val="11"/>
      <color theme="1"/>
      <name val="Calibri"/>
      <family val="2"/>
      <scheme val="minor"/>
    </font>
    <font>
      <b/>
      <sz val="11"/>
      <color theme="1"/>
      <name val="Calibri"/>
      <family val="2"/>
      <scheme val="minor"/>
    </font>
    <font>
      <sz val="11"/>
      <color theme="7" tint="-0.499984740745262"/>
      <name val="Calibri"/>
      <family val="2"/>
      <scheme val="minor"/>
    </font>
    <font>
      <sz val="10"/>
      <color theme="1"/>
      <name val="Arial"/>
      <family val="2"/>
    </font>
    <font>
      <sz val="10"/>
      <name val="Arial"/>
      <family val="2"/>
    </font>
    <font>
      <b/>
      <sz val="10"/>
      <color indexed="8"/>
      <name val="SansSerif"/>
    </font>
    <font>
      <sz val="10"/>
      <color indexed="8"/>
      <name val="SansSerif"/>
    </font>
    <font>
      <sz val="10"/>
      <color theme="3" tint="0.39997558519241921"/>
      <name val="SansSerif"/>
    </font>
    <font>
      <b/>
      <sz val="10"/>
      <name val="Arial"/>
      <family val="2"/>
    </font>
    <font>
      <sz val="11"/>
      <color rgb="FFC00000"/>
      <name val="Calibri"/>
      <family val="2"/>
      <scheme val="minor"/>
    </font>
    <font>
      <sz val="11"/>
      <color theme="0"/>
      <name val="Calibri"/>
      <family val="2"/>
      <scheme val="minor"/>
    </font>
    <font>
      <sz val="14"/>
      <color theme="1"/>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sz val="10"/>
      <color theme="7" tint="-0.499984740745262"/>
      <name val="Calibri"/>
      <family val="2"/>
      <scheme val="minor"/>
    </font>
    <font>
      <sz val="11"/>
      <color theme="9" tint="-0.499984740745262"/>
      <name val="Calibri"/>
      <family val="2"/>
      <scheme val="minor"/>
    </font>
    <font>
      <b/>
      <sz val="10"/>
      <color theme="7" tint="-0.499984740745262"/>
      <name val="Calibri"/>
      <family val="2"/>
      <scheme val="minor"/>
    </font>
    <font>
      <sz val="10"/>
      <color theme="1"/>
      <name val="Calibri"/>
      <family val="2"/>
    </font>
    <font>
      <sz val="10"/>
      <name val="Calibri"/>
      <family val="2"/>
      <scheme val="minor"/>
    </font>
    <font>
      <b/>
      <sz val="10"/>
      <name val="Calibri"/>
      <family val="2"/>
      <scheme val="minor"/>
    </font>
    <font>
      <sz val="11"/>
      <color theme="4" tint="-0.249977111117893"/>
      <name val="Calibri"/>
      <family val="2"/>
      <scheme val="minor"/>
    </font>
    <font>
      <b/>
      <sz val="11"/>
      <color theme="4" tint="-0.249977111117893"/>
      <name val="Calibri"/>
      <family val="2"/>
      <scheme val="minor"/>
    </font>
    <font>
      <sz val="8"/>
      <name val="Calibri"/>
      <family val="2"/>
      <scheme val="minor"/>
    </font>
    <font>
      <b/>
      <sz val="10"/>
      <color theme="9" tint="-0.499984740745262"/>
      <name val="Calibri"/>
      <family val="2"/>
      <scheme val="minor"/>
    </font>
    <font>
      <u/>
      <sz val="9"/>
      <color theme="8"/>
      <name val="Calibri"/>
      <family val="2"/>
      <scheme val="minor"/>
    </font>
    <font>
      <sz val="10"/>
      <color theme="8"/>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indexed="9"/>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4" tint="0.79998168889431442"/>
        <bgColor indexed="64"/>
      </patternFill>
    </fill>
  </fills>
  <borders count="40">
    <border>
      <left/>
      <right/>
      <top/>
      <bottom/>
      <diagonal/>
    </border>
    <border>
      <left style="thin">
        <color theme="7"/>
      </left>
      <right style="thin">
        <color theme="7"/>
      </right>
      <top style="thin">
        <color theme="7"/>
      </top>
      <bottom style="thin">
        <color theme="7"/>
      </bottom>
      <diagonal/>
    </border>
    <border>
      <left style="thin">
        <color indexed="64"/>
      </left>
      <right style="thin">
        <color indexed="64"/>
      </right>
      <top style="thin">
        <color indexed="64"/>
      </top>
      <bottom style="thin">
        <color indexed="64"/>
      </bottom>
      <diagonal/>
    </border>
    <border>
      <left style="thin">
        <color theme="7"/>
      </left>
      <right style="thin">
        <color theme="7"/>
      </right>
      <top/>
      <bottom style="thin">
        <color theme="7"/>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theme="7"/>
      </right>
      <top/>
      <bottom/>
      <diagonal/>
    </border>
    <border>
      <left style="thin">
        <color theme="7"/>
      </left>
      <right/>
      <top/>
      <bottom style="thin">
        <color theme="7"/>
      </bottom>
      <diagonal/>
    </border>
    <border>
      <left style="thin">
        <color theme="7"/>
      </left>
      <right/>
      <top style="thin">
        <color theme="7"/>
      </top>
      <bottom style="thin">
        <color theme="7"/>
      </bottom>
      <diagonal/>
    </border>
    <border>
      <left/>
      <right style="thin">
        <color theme="7"/>
      </right>
      <top/>
      <bottom style="thin">
        <color theme="7"/>
      </bottom>
      <diagonal/>
    </border>
    <border>
      <left/>
      <right style="thin">
        <color theme="7"/>
      </right>
      <top style="thin">
        <color theme="7"/>
      </top>
      <bottom style="thin">
        <color theme="7"/>
      </bottom>
      <diagonal/>
    </border>
    <border>
      <left style="thin">
        <color indexed="64"/>
      </left>
      <right style="thin">
        <color indexed="64"/>
      </right>
      <top style="thin">
        <color indexed="64"/>
      </top>
      <bottom/>
      <diagonal/>
    </border>
    <border>
      <left/>
      <right style="thin">
        <color theme="7"/>
      </right>
      <top style="thin">
        <color theme="7"/>
      </top>
      <bottom/>
      <diagonal/>
    </border>
    <border>
      <left/>
      <right/>
      <top/>
      <bottom style="thin">
        <color theme="7"/>
      </bottom>
      <diagonal/>
    </border>
    <border>
      <left style="thin">
        <color indexed="64"/>
      </left>
      <right/>
      <top style="thin">
        <color indexed="64"/>
      </top>
      <bottom/>
      <diagonal/>
    </border>
    <border>
      <left/>
      <right/>
      <top style="thin">
        <color theme="7"/>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7"/>
      </right>
      <top style="thin">
        <color theme="7"/>
      </top>
      <bottom style="thin">
        <color theme="7"/>
      </bottom>
      <diagonal/>
    </border>
    <border>
      <left style="thin">
        <color theme="7"/>
      </left>
      <right style="thin">
        <color indexed="64"/>
      </right>
      <top style="thin">
        <color theme="7"/>
      </top>
      <bottom style="thin">
        <color theme="7"/>
      </bottom>
      <diagonal/>
    </border>
    <border>
      <left style="thin">
        <color indexed="64"/>
      </left>
      <right style="thin">
        <color theme="7"/>
      </right>
      <top style="thin">
        <color theme="7"/>
      </top>
      <bottom style="thin">
        <color indexed="64"/>
      </bottom>
      <diagonal/>
    </border>
    <border>
      <left style="thin">
        <color theme="7"/>
      </left>
      <right style="thin">
        <color theme="7"/>
      </right>
      <top style="thin">
        <color theme="7"/>
      </top>
      <bottom style="thin">
        <color indexed="64"/>
      </bottom>
      <diagonal/>
    </border>
    <border>
      <left style="thin">
        <color theme="7"/>
      </left>
      <right style="thin">
        <color indexed="64"/>
      </right>
      <top style="thin">
        <color theme="7"/>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7"/>
      </top>
      <bottom style="thin">
        <color theme="7"/>
      </bottom>
      <diagonal/>
    </border>
    <border>
      <left style="thin">
        <color theme="7"/>
      </left>
      <right/>
      <top style="thin">
        <color theme="7"/>
      </top>
      <bottom style="thin">
        <color indexed="64"/>
      </bottom>
      <diagonal/>
    </border>
    <border>
      <left/>
      <right style="thin">
        <color theme="7"/>
      </right>
      <top style="thin">
        <color theme="7"/>
      </top>
      <bottom style="thin">
        <color indexed="64"/>
      </bottom>
      <diagonal/>
    </border>
    <border>
      <left style="thin">
        <color indexed="64"/>
      </left>
      <right style="thin">
        <color indexed="64"/>
      </right>
      <top style="thin">
        <color indexed="64"/>
      </top>
      <bottom style="thin">
        <color theme="7"/>
      </bottom>
      <diagonal/>
    </border>
    <border>
      <left style="thin">
        <color indexed="64"/>
      </left>
      <right style="thin">
        <color indexed="64"/>
      </right>
      <top style="thin">
        <color theme="7"/>
      </top>
      <bottom style="thin">
        <color theme="7"/>
      </bottom>
      <diagonal/>
    </border>
    <border>
      <left style="thin">
        <color indexed="64"/>
      </left>
      <right style="thin">
        <color indexed="64"/>
      </right>
      <top style="thin">
        <color theme="7"/>
      </top>
      <bottom style="thin">
        <color indexed="64"/>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theme="4"/>
      </left>
      <right style="thin">
        <color theme="4"/>
      </right>
      <top style="thin">
        <color theme="4"/>
      </top>
      <bottom style="thin">
        <color theme="4"/>
      </bottom>
      <diagonal/>
    </border>
    <border>
      <left/>
      <right/>
      <top/>
      <bottom style="double">
        <color indexed="64"/>
      </bottom>
      <diagonal/>
    </border>
    <border>
      <left style="thin">
        <color indexed="64"/>
      </left>
      <right style="thin">
        <color theme="7"/>
      </right>
      <top style="thin">
        <color theme="7"/>
      </top>
      <bottom/>
      <diagonal/>
    </border>
    <border>
      <left style="thin">
        <color theme="7"/>
      </left>
      <right style="thin">
        <color indexed="64"/>
      </right>
      <top style="thin">
        <color theme="7"/>
      </top>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226">
    <xf numFmtId="0" fontId="0" fillId="0" borderId="0" xfId="0"/>
    <xf numFmtId="0" fontId="0" fillId="0" borderId="0" xfId="0" applyAlignment="1">
      <alignment wrapText="1"/>
    </xf>
    <xf numFmtId="0" fontId="0" fillId="0" borderId="0" xfId="0" applyAlignment="1">
      <alignment horizontal="right"/>
    </xf>
    <xf numFmtId="9" fontId="0" fillId="0" borderId="0" xfId="0" applyNumberFormat="1"/>
    <xf numFmtId="44" fontId="0" fillId="0" borderId="0" xfId="1" applyFont="1"/>
    <xf numFmtId="44" fontId="0" fillId="0" borderId="0" xfId="0" applyNumberFormat="1"/>
    <xf numFmtId="165" fontId="0" fillId="0" borderId="0" xfId="0" applyNumberFormat="1"/>
    <xf numFmtId="166" fontId="0" fillId="0" borderId="0" xfId="0" applyNumberFormat="1"/>
    <xf numFmtId="10" fontId="0" fillId="0" borderId="0" xfId="0" applyNumberFormat="1"/>
    <xf numFmtId="9" fontId="0" fillId="0" borderId="0" xfId="2" applyFont="1"/>
    <xf numFmtId="2" fontId="0" fillId="0" borderId="0" xfId="2" applyNumberFormat="1" applyFont="1"/>
    <xf numFmtId="0" fontId="5" fillId="0" borderId="0" xfId="0" applyFont="1"/>
    <xf numFmtId="0" fontId="6" fillId="0" borderId="0" xfId="0" applyFont="1"/>
    <xf numFmtId="0" fontId="8" fillId="0" borderId="0" xfId="0" applyFont="1" applyAlignment="1">
      <alignment horizontal="left" vertical="top" wrapText="1"/>
    </xf>
    <xf numFmtId="0" fontId="7" fillId="0" borderId="0" xfId="0" applyFont="1" applyAlignment="1">
      <alignment horizontal="left" vertical="top" wrapText="1"/>
    </xf>
    <xf numFmtId="3" fontId="8" fillId="0" borderId="0" xfId="0" applyNumberFormat="1" applyFont="1" applyAlignment="1">
      <alignment horizontal="left" vertical="top" wrapText="1"/>
    </xf>
    <xf numFmtId="0" fontId="9" fillId="0" borderId="0" xfId="0" applyFont="1" applyAlignment="1">
      <alignment horizontal="left" vertical="top" wrapText="1" indent="2"/>
    </xf>
    <xf numFmtId="9" fontId="6" fillId="0" borderId="0" xfId="2" applyFont="1"/>
    <xf numFmtId="9" fontId="6" fillId="0" borderId="0" xfId="0" applyNumberFormat="1" applyFont="1"/>
    <xf numFmtId="0" fontId="8" fillId="5" borderId="0" xfId="0" applyFont="1" applyFill="1" applyAlignment="1">
      <alignment vertical="top"/>
    </xf>
    <xf numFmtId="0" fontId="8" fillId="5" borderId="0" xfId="0" applyFont="1" applyFill="1" applyAlignment="1">
      <alignment vertical="top" wrapText="1"/>
    </xf>
    <xf numFmtId="0" fontId="10" fillId="0" borderId="0" xfId="0" applyFont="1" applyAlignment="1">
      <alignment horizontal="center" vertical="center" wrapText="1"/>
    </xf>
    <xf numFmtId="0" fontId="0" fillId="0" borderId="0" xfId="0" applyAlignment="1">
      <alignment vertical="center" wrapText="1"/>
    </xf>
    <xf numFmtId="3" fontId="0" fillId="0" borderId="0" xfId="0" applyNumberFormat="1" applyAlignment="1">
      <alignment vertical="center" wrapText="1"/>
    </xf>
    <xf numFmtId="10" fontId="0" fillId="0" borderId="0" xfId="0" applyNumberFormat="1" applyAlignment="1">
      <alignment vertical="center" wrapText="1"/>
    </xf>
    <xf numFmtId="0" fontId="8" fillId="0" borderId="0" xfId="0" applyFont="1" applyAlignment="1">
      <alignment horizontal="left" vertical="top"/>
    </xf>
    <xf numFmtId="0" fontId="8" fillId="0" borderId="0" xfId="0" applyFont="1" applyAlignment="1">
      <alignment vertical="top"/>
    </xf>
    <xf numFmtId="3" fontId="8" fillId="0" borderId="0" xfId="0" applyNumberFormat="1" applyFont="1" applyAlignment="1">
      <alignment vertical="top"/>
    </xf>
    <xf numFmtId="0" fontId="8" fillId="0" borderId="0" xfId="0" applyFont="1" applyAlignment="1">
      <alignment vertical="center"/>
    </xf>
    <xf numFmtId="3" fontId="0" fillId="0" borderId="0" xfId="0" applyNumberFormat="1" applyAlignment="1">
      <alignment vertical="center"/>
    </xf>
    <xf numFmtId="0" fontId="3" fillId="0" borderId="0" xfId="0" applyFont="1"/>
    <xf numFmtId="167" fontId="0" fillId="0" borderId="0" xfId="1" applyNumberFormat="1" applyFont="1"/>
    <xf numFmtId="168" fontId="0" fillId="0" borderId="0" xfId="3" applyNumberFormat="1" applyFont="1"/>
    <xf numFmtId="1" fontId="0" fillId="0" borderId="0" xfId="0" applyNumberFormat="1"/>
    <xf numFmtId="37" fontId="0" fillId="0" borderId="0" xfId="3" applyNumberFormat="1" applyFont="1"/>
    <xf numFmtId="43" fontId="0" fillId="0" borderId="0" xfId="3" applyFont="1"/>
    <xf numFmtId="39" fontId="0" fillId="0" borderId="0" xfId="3" applyNumberFormat="1" applyFont="1"/>
    <xf numFmtId="3" fontId="0" fillId="0" borderId="0" xfId="0" applyNumberFormat="1"/>
    <xf numFmtId="0" fontId="0" fillId="0" borderId="0" xfId="0" applyAlignment="1">
      <alignment vertical="center"/>
    </xf>
    <xf numFmtId="0" fontId="0" fillId="0" borderId="27" xfId="0" applyBorder="1"/>
    <xf numFmtId="0" fontId="1" fillId="0" borderId="27" xfId="0" applyFont="1" applyBorder="1" applyAlignment="1">
      <alignment horizontal="left" vertical="top"/>
    </xf>
    <xf numFmtId="0" fontId="1" fillId="0" borderId="27" xfId="0" applyFont="1" applyBorder="1" applyAlignment="1">
      <alignment vertical="center"/>
    </xf>
    <xf numFmtId="0" fontId="3" fillId="6" borderId="27" xfId="0" applyFont="1" applyFill="1" applyBorder="1"/>
    <xf numFmtId="0" fontId="13" fillId="0" borderId="20" xfId="0" applyFont="1" applyBorder="1"/>
    <xf numFmtId="0" fontId="0" fillId="0" borderId="20" xfId="0" applyBorder="1"/>
    <xf numFmtId="0" fontId="17" fillId="3" borderId="9" xfId="0" applyFont="1" applyFill="1" applyBorder="1" applyProtection="1">
      <protection locked="0"/>
    </xf>
    <xf numFmtId="0" fontId="17" fillId="3" borderId="11" xfId="0" applyFont="1" applyFill="1" applyBorder="1" applyProtection="1">
      <protection locked="0"/>
    </xf>
    <xf numFmtId="0" fontId="17" fillId="3" borderId="3" xfId="0" applyFont="1" applyFill="1" applyBorder="1" applyProtection="1">
      <protection locked="0"/>
    </xf>
    <xf numFmtId="0" fontId="17" fillId="3" borderId="10" xfId="0" applyFont="1" applyFill="1" applyBorder="1" applyProtection="1">
      <protection locked="0"/>
    </xf>
    <xf numFmtId="0" fontId="17" fillId="3" borderId="12" xfId="0" applyFont="1" applyFill="1" applyBorder="1" applyProtection="1">
      <protection locked="0"/>
    </xf>
    <xf numFmtId="0" fontId="17" fillId="3" borderId="1" xfId="0" applyFont="1" applyFill="1" applyBorder="1" applyProtection="1">
      <protection locked="0"/>
    </xf>
    <xf numFmtId="0" fontId="17" fillId="3" borderId="29" xfId="0" applyFont="1" applyFill="1" applyBorder="1" applyProtection="1">
      <protection locked="0"/>
    </xf>
    <xf numFmtId="0" fontId="17" fillId="3" borderId="30" xfId="0" applyFont="1" applyFill="1" applyBorder="1" applyProtection="1">
      <protection locked="0"/>
    </xf>
    <xf numFmtId="0" fontId="17" fillId="3" borderId="25" xfId="0" applyFont="1" applyFill="1" applyBorder="1" applyProtection="1">
      <protection locked="0"/>
    </xf>
    <xf numFmtId="0" fontId="17" fillId="3" borderId="31" xfId="0" applyFont="1" applyFill="1" applyBorder="1" applyProtection="1">
      <protection locked="0"/>
    </xf>
    <xf numFmtId="0" fontId="17" fillId="3" borderId="32" xfId="0" applyFont="1" applyFill="1" applyBorder="1" applyProtection="1">
      <protection locked="0"/>
    </xf>
    <xf numFmtId="0" fontId="17" fillId="3" borderId="33" xfId="0" applyFont="1" applyFill="1" applyBorder="1" applyProtection="1">
      <protection locked="0"/>
    </xf>
    <xf numFmtId="0" fontId="3" fillId="0" borderId="27" xfId="0" applyFont="1" applyBorder="1"/>
    <xf numFmtId="166" fontId="19" fillId="3" borderId="15" xfId="0" applyNumberFormat="1" applyFont="1" applyFill="1" applyBorder="1" applyProtection="1">
      <protection locked="0"/>
    </xf>
    <xf numFmtId="166" fontId="19" fillId="3" borderId="8" xfId="0" applyNumberFormat="1" applyFont="1" applyFill="1" applyBorder="1" applyProtection="1">
      <protection locked="0"/>
    </xf>
    <xf numFmtId="166" fontId="19" fillId="3" borderId="14" xfId="0" applyNumberFormat="1" applyFont="1" applyFill="1" applyBorder="1" applyProtection="1">
      <protection locked="0"/>
    </xf>
    <xf numFmtId="166" fontId="19" fillId="3" borderId="17" xfId="0" applyNumberFormat="1" applyFont="1" applyFill="1" applyBorder="1" applyProtection="1">
      <protection locked="0"/>
    </xf>
    <xf numFmtId="0" fontId="15" fillId="0" borderId="0" xfId="0" applyFont="1"/>
    <xf numFmtId="166" fontId="19" fillId="3" borderId="22" xfId="0" applyNumberFormat="1" applyFont="1" applyFill="1" applyBorder="1" applyProtection="1">
      <protection locked="0"/>
    </xf>
    <xf numFmtId="166" fontId="19" fillId="3" borderId="1" xfId="0" applyNumberFormat="1" applyFont="1" applyFill="1" applyBorder="1" applyProtection="1">
      <protection locked="0"/>
    </xf>
    <xf numFmtId="166" fontId="19" fillId="3" borderId="23" xfId="0" applyNumberFormat="1" applyFont="1" applyFill="1" applyBorder="1" applyProtection="1">
      <protection locked="0"/>
    </xf>
    <xf numFmtId="166" fontId="19" fillId="3" borderId="24" xfId="0" applyNumberFormat="1" applyFont="1" applyFill="1" applyBorder="1" applyProtection="1">
      <protection locked="0"/>
    </xf>
    <xf numFmtId="166" fontId="19" fillId="3" borderId="25" xfId="0" applyNumberFormat="1" applyFont="1" applyFill="1" applyBorder="1" applyProtection="1">
      <protection locked="0"/>
    </xf>
    <xf numFmtId="166" fontId="19" fillId="3" borderId="26" xfId="0" applyNumberFormat="1" applyFont="1" applyFill="1" applyBorder="1" applyProtection="1">
      <protection locked="0"/>
    </xf>
    <xf numFmtId="0" fontId="15" fillId="0" borderId="0" xfId="0" applyFont="1" applyAlignment="1">
      <alignment wrapText="1"/>
    </xf>
    <xf numFmtId="166" fontId="15" fillId="0" borderId="0" xfId="0" applyNumberFormat="1" applyFont="1"/>
    <xf numFmtId="10" fontId="15" fillId="0" borderId="0" xfId="0" applyNumberFormat="1" applyFont="1"/>
    <xf numFmtId="44" fontId="15" fillId="0" borderId="0" xfId="1" applyFont="1"/>
    <xf numFmtId="0" fontId="15" fillId="0" borderId="0" xfId="0" applyFont="1" applyAlignment="1">
      <alignment horizontal="right"/>
    </xf>
    <xf numFmtId="10" fontId="15" fillId="0" borderId="0" xfId="0" applyNumberFormat="1" applyFont="1" applyAlignment="1">
      <alignment horizontal="right"/>
    </xf>
    <xf numFmtId="165" fontId="15" fillId="0" borderId="0" xfId="0" applyNumberFormat="1" applyFont="1"/>
    <xf numFmtId="9" fontId="15" fillId="0" borderId="0" xfId="2" applyFont="1"/>
    <xf numFmtId="2" fontId="15" fillId="0" borderId="0" xfId="2" applyNumberFormat="1" applyFont="1"/>
    <xf numFmtId="0" fontId="0" fillId="3" borderId="0" xfId="0" applyFill="1"/>
    <xf numFmtId="0" fontId="15" fillId="0" borderId="0" xfId="0" applyFont="1" applyBorder="1"/>
    <xf numFmtId="0" fontId="15" fillId="0" borderId="0" xfId="0" applyFont="1" applyBorder="1" applyAlignment="1">
      <alignment wrapText="1"/>
    </xf>
    <xf numFmtId="2" fontId="15" fillId="0" borderId="0" xfId="2" applyNumberFormat="1" applyFont="1" applyBorder="1"/>
    <xf numFmtId="0" fontId="15" fillId="0" borderId="20" xfId="0" applyFont="1" applyBorder="1"/>
    <xf numFmtId="0" fontId="15" fillId="0" borderId="20" xfId="0" applyFont="1" applyBorder="1" applyAlignment="1">
      <alignment wrapText="1"/>
    </xf>
    <xf numFmtId="166" fontId="15" fillId="0" borderId="20" xfId="0" applyNumberFormat="1" applyFont="1" applyBorder="1"/>
    <xf numFmtId="0" fontId="15" fillId="0" borderId="7" xfId="0" applyFont="1" applyBorder="1"/>
    <xf numFmtId="0" fontId="15" fillId="0" borderId="7" xfId="0" applyFont="1" applyBorder="1" applyAlignment="1">
      <alignment wrapText="1"/>
    </xf>
    <xf numFmtId="9" fontId="15" fillId="0" borderId="7" xfId="2" applyFont="1" applyBorder="1"/>
    <xf numFmtId="0" fontId="15" fillId="7" borderId="0" xfId="0" applyFont="1" applyFill="1"/>
    <xf numFmtId="0" fontId="15" fillId="7" borderId="0" xfId="0" applyFont="1" applyFill="1" applyAlignment="1">
      <alignment wrapText="1"/>
    </xf>
    <xf numFmtId="44" fontId="15" fillId="7" borderId="0" xfId="0" applyNumberFormat="1" applyFont="1" applyFill="1"/>
    <xf numFmtId="0" fontId="0" fillId="0" borderId="0" xfId="0" applyBorder="1"/>
    <xf numFmtId="0" fontId="0" fillId="0" borderId="0" xfId="0" applyFont="1" applyBorder="1"/>
    <xf numFmtId="0" fontId="0" fillId="0" borderId="0" xfId="0" applyFont="1"/>
    <xf numFmtId="0" fontId="0" fillId="0" borderId="0" xfId="0" applyFill="1" applyBorder="1"/>
    <xf numFmtId="0" fontId="4" fillId="3" borderId="1" xfId="0" applyFont="1" applyFill="1" applyBorder="1"/>
    <xf numFmtId="14" fontId="23" fillId="8" borderId="36" xfId="0" applyNumberFormat="1" applyFont="1" applyFill="1" applyBorder="1"/>
    <xf numFmtId="167" fontId="23" fillId="8" borderId="36" xfId="1" applyNumberFormat="1" applyFont="1" applyFill="1" applyBorder="1"/>
    <xf numFmtId="167" fontId="24" fillId="8" borderId="36" xfId="1" applyNumberFormat="1" applyFont="1" applyFill="1" applyBorder="1"/>
    <xf numFmtId="0" fontId="23" fillId="8" borderId="36" xfId="0" applyNumberFormat="1" applyFont="1" applyFill="1" applyBorder="1"/>
    <xf numFmtId="9" fontId="23" fillId="8" borderId="36" xfId="2" applyFont="1" applyFill="1" applyBorder="1"/>
    <xf numFmtId="168" fontId="23" fillId="8" borderId="36" xfId="3" applyNumberFormat="1" applyFont="1" applyFill="1" applyBorder="1"/>
    <xf numFmtId="0" fontId="23" fillId="8" borderId="36" xfId="2" applyNumberFormat="1" applyFont="1" applyFill="1" applyBorder="1"/>
    <xf numFmtId="0" fontId="0" fillId="0" borderId="0" xfId="0" applyFont="1" applyFill="1"/>
    <xf numFmtId="0" fontId="0" fillId="0" borderId="0" xfId="0" applyFont="1" applyFill="1" applyAlignment="1">
      <alignment wrapText="1"/>
    </xf>
    <xf numFmtId="166" fontId="0" fillId="0" borderId="0" xfId="0" applyNumberFormat="1" applyFont="1" applyFill="1"/>
    <xf numFmtId="10" fontId="0" fillId="0" borderId="0" xfId="0" applyNumberFormat="1" applyFont="1" applyFill="1"/>
    <xf numFmtId="44" fontId="0" fillId="0" borderId="0" xfId="1" applyFont="1" applyFill="1"/>
    <xf numFmtId="0" fontId="0" fillId="0" borderId="0" xfId="0" applyFont="1" applyFill="1" applyAlignment="1">
      <alignment horizontal="right"/>
    </xf>
    <xf numFmtId="10" fontId="0" fillId="0" borderId="0" xfId="0" applyNumberFormat="1" applyFont="1" applyFill="1" applyAlignment="1">
      <alignment horizontal="right"/>
    </xf>
    <xf numFmtId="165" fontId="0" fillId="0" borderId="0" xfId="0" applyNumberFormat="1" applyFont="1" applyFill="1"/>
    <xf numFmtId="3" fontId="0" fillId="0" borderId="0" xfId="0" applyNumberFormat="1" applyFont="1" applyFill="1"/>
    <xf numFmtId="9" fontId="0" fillId="0" borderId="0" xfId="0" applyNumberFormat="1" applyFont="1" applyFill="1"/>
    <xf numFmtId="44" fontId="0" fillId="0" borderId="0" xfId="0" applyNumberFormat="1" applyFont="1" applyFill="1"/>
    <xf numFmtId="0" fontId="0" fillId="0" borderId="7" xfId="0" applyFont="1" applyFill="1" applyBorder="1"/>
    <xf numFmtId="0" fontId="0" fillId="0" borderId="7" xfId="0" applyFont="1" applyFill="1" applyBorder="1" applyAlignment="1">
      <alignment wrapText="1"/>
    </xf>
    <xf numFmtId="9" fontId="0" fillId="0" borderId="0" xfId="2" applyFont="1" applyFill="1"/>
    <xf numFmtId="0" fontId="0" fillId="0" borderId="0" xfId="0" applyFont="1" applyFill="1" applyBorder="1"/>
    <xf numFmtId="0" fontId="0" fillId="0" borderId="0" xfId="0" applyFont="1" applyFill="1" applyBorder="1" applyAlignment="1">
      <alignment wrapText="1"/>
    </xf>
    <xf numFmtId="2" fontId="0" fillId="0" borderId="0" xfId="2" applyNumberFormat="1" applyFont="1" applyFill="1" applyBorder="1"/>
    <xf numFmtId="2" fontId="0" fillId="0" borderId="0" xfId="2" applyNumberFormat="1" applyFont="1" applyFill="1"/>
    <xf numFmtId="0" fontId="0" fillId="0" borderId="20" xfId="0" applyFont="1" applyFill="1" applyBorder="1"/>
    <xf numFmtId="0" fontId="0" fillId="0" borderId="20" xfId="0" applyFont="1" applyFill="1" applyBorder="1" applyAlignment="1">
      <alignment wrapText="1"/>
    </xf>
    <xf numFmtId="166" fontId="0" fillId="0" borderId="20" xfId="0" applyNumberFormat="1" applyFont="1" applyFill="1" applyBorder="1"/>
    <xf numFmtId="166" fontId="0" fillId="0" borderId="0" xfId="0" applyNumberFormat="1" applyFont="1" applyFill="1" applyBorder="1"/>
    <xf numFmtId="0" fontId="0" fillId="0" borderId="37" xfId="0" applyFont="1" applyFill="1" applyBorder="1"/>
    <xf numFmtId="0" fontId="0" fillId="0" borderId="37" xfId="0" applyFont="1" applyFill="1" applyBorder="1" applyAlignment="1">
      <alignment wrapText="1"/>
    </xf>
    <xf numFmtId="166" fontId="0" fillId="0" borderId="37" xfId="0" applyNumberFormat="1" applyFont="1" applyFill="1" applyBorder="1"/>
    <xf numFmtId="165" fontId="0" fillId="0" borderId="20" xfId="0" applyNumberFormat="1" applyFont="1" applyFill="1" applyBorder="1"/>
    <xf numFmtId="9" fontId="0" fillId="0" borderId="0" xfId="2" applyFont="1" applyFill="1" applyBorder="1"/>
    <xf numFmtId="166" fontId="0" fillId="0" borderId="7" xfId="0" applyNumberFormat="1" applyFont="1" applyFill="1" applyBorder="1"/>
    <xf numFmtId="0" fontId="3" fillId="0" borderId="20" xfId="0" applyFont="1" applyFill="1" applyBorder="1" applyAlignment="1">
      <alignment wrapText="1"/>
    </xf>
    <xf numFmtId="166" fontId="3" fillId="0" borderId="20" xfId="0" applyNumberFormat="1" applyFont="1" applyFill="1" applyBorder="1"/>
    <xf numFmtId="0" fontId="3" fillId="0" borderId="0" xfId="0" applyFont="1" applyFill="1" applyAlignment="1">
      <alignment wrapText="1"/>
    </xf>
    <xf numFmtId="166" fontId="3" fillId="0" borderId="0" xfId="0" applyNumberFormat="1" applyFont="1" applyFill="1"/>
    <xf numFmtId="0" fontId="13" fillId="0" borderId="20" xfId="0" applyFont="1" applyBorder="1" applyProtection="1"/>
    <xf numFmtId="0" fontId="0" fillId="0" borderId="20" xfId="0" applyBorder="1" applyProtection="1"/>
    <xf numFmtId="0" fontId="0" fillId="0" borderId="0" xfId="0" applyProtection="1"/>
    <xf numFmtId="0" fontId="14" fillId="0" borderId="0" xfId="0" applyFont="1" applyProtection="1"/>
    <xf numFmtId="0" fontId="12" fillId="0" borderId="0" xfId="0" applyFont="1" applyProtection="1"/>
    <xf numFmtId="0" fontId="4" fillId="0" borderId="0" xfId="0" applyFont="1" applyAlignment="1" applyProtection="1">
      <alignment vertical="top"/>
    </xf>
    <xf numFmtId="0" fontId="14" fillId="0" borderId="0" xfId="0" applyFont="1" applyAlignment="1" applyProtection="1">
      <alignment horizontal="left" vertical="top" wrapText="1"/>
    </xf>
    <xf numFmtId="0" fontId="15" fillId="4" borderId="2" xfId="0" applyFont="1" applyFill="1" applyBorder="1" applyProtection="1"/>
    <xf numFmtId="0" fontId="15" fillId="4" borderId="2" xfId="0" applyFont="1" applyFill="1" applyBorder="1" applyAlignment="1" applyProtection="1">
      <alignment horizontal="center" wrapText="1"/>
    </xf>
    <xf numFmtId="166" fontId="15" fillId="0" borderId="2" xfId="0" applyNumberFormat="1" applyFont="1" applyBorder="1" applyProtection="1"/>
    <xf numFmtId="166" fontId="15" fillId="0" borderId="2" xfId="0" applyNumberFormat="1" applyFont="1" applyBorder="1" applyAlignment="1" applyProtection="1">
      <alignment horizontal="right"/>
    </xf>
    <xf numFmtId="0" fontId="0" fillId="0" borderId="0" xfId="0" applyAlignment="1" applyProtection="1">
      <alignment horizontal="right"/>
    </xf>
    <xf numFmtId="166" fontId="0" fillId="0" borderId="0" xfId="0" applyNumberFormat="1" applyProtection="1"/>
    <xf numFmtId="166" fontId="14" fillId="0" borderId="0" xfId="0" applyNumberFormat="1" applyFont="1" applyProtection="1"/>
    <xf numFmtId="0" fontId="16" fillId="4" borderId="2" xfId="0" applyFont="1" applyFill="1" applyBorder="1" applyAlignment="1" applyProtection="1">
      <alignment horizontal="center" wrapText="1"/>
    </xf>
    <xf numFmtId="166" fontId="16" fillId="0" borderId="2" xfId="0" applyNumberFormat="1" applyFont="1" applyBorder="1" applyProtection="1"/>
    <xf numFmtId="166" fontId="18" fillId="2" borderId="34" xfId="0" applyNumberFormat="1" applyFont="1" applyFill="1" applyBorder="1" applyAlignment="1" applyProtection="1">
      <alignment horizontal="right"/>
    </xf>
    <xf numFmtId="0" fontId="18" fillId="2" borderId="35" xfId="0" applyFont="1" applyFill="1" applyBorder="1" applyProtection="1"/>
    <xf numFmtId="0" fontId="15" fillId="4" borderId="2" xfId="0" applyFont="1" applyFill="1" applyBorder="1" applyAlignment="1" applyProtection="1">
      <alignment horizontal="center"/>
    </xf>
    <xf numFmtId="9" fontId="15" fillId="0" borderId="2" xfId="0" applyNumberFormat="1" applyFont="1" applyBorder="1" applyProtection="1"/>
    <xf numFmtId="0" fontId="15" fillId="0" borderId="2" xfId="0" applyFont="1" applyBorder="1" applyProtection="1"/>
    <xf numFmtId="166" fontId="15" fillId="0" borderId="13" xfId="0" applyNumberFormat="1" applyFont="1" applyBorder="1" applyProtection="1"/>
    <xf numFmtId="0" fontId="15" fillId="0" borderId="13" xfId="0" applyFont="1" applyBorder="1" applyProtection="1"/>
    <xf numFmtId="166" fontId="15" fillId="4" borderId="2" xfId="0" applyNumberFormat="1" applyFont="1" applyFill="1" applyBorder="1" applyProtection="1"/>
    <xf numFmtId="166" fontId="15" fillId="4" borderId="2" xfId="0" applyNumberFormat="1" applyFont="1" applyFill="1" applyBorder="1" applyAlignment="1" applyProtection="1">
      <alignment horizontal="center" wrapText="1"/>
    </xf>
    <xf numFmtId="0" fontId="15" fillId="0" borderId="2" xfId="0" applyFont="1" applyBorder="1" applyAlignment="1" applyProtection="1">
      <alignment horizontal="right"/>
    </xf>
    <xf numFmtId="166" fontId="15" fillId="0" borderId="4" xfId="0" applyNumberFormat="1" applyFont="1" applyBorder="1" applyProtection="1"/>
    <xf numFmtId="0" fontId="15" fillId="4" borderId="2" xfId="0" applyFont="1" applyFill="1" applyBorder="1" applyAlignment="1" applyProtection="1">
      <alignment horizontal="right"/>
    </xf>
    <xf numFmtId="2" fontId="15" fillId="4" borderId="2" xfId="0" applyNumberFormat="1" applyFont="1" applyFill="1" applyBorder="1" applyProtection="1"/>
    <xf numFmtId="2" fontId="15" fillId="4" borderId="4" xfId="0" applyNumberFormat="1" applyFont="1" applyFill="1" applyBorder="1" applyProtection="1"/>
    <xf numFmtId="9" fontId="14" fillId="0" borderId="0" xfId="0" applyNumberFormat="1" applyFont="1" applyProtection="1"/>
    <xf numFmtId="9" fontId="0" fillId="0" borderId="0" xfId="0" applyNumberFormat="1" applyProtection="1"/>
    <xf numFmtId="0" fontId="15" fillId="0" borderId="0" xfId="0" applyFont="1" applyProtection="1"/>
    <xf numFmtId="1" fontId="15" fillId="4" borderId="2" xfId="0" applyNumberFormat="1" applyFont="1" applyFill="1" applyBorder="1" applyProtection="1"/>
    <xf numFmtId="2" fontId="15" fillId="0" borderId="0" xfId="0" applyNumberFormat="1" applyFont="1" applyProtection="1"/>
    <xf numFmtId="0" fontId="15" fillId="0" borderId="0" xfId="0" applyFont="1" applyAlignment="1" applyProtection="1">
      <alignment vertical="top" wrapText="1"/>
    </xf>
    <xf numFmtId="166" fontId="15" fillId="0" borderId="0" xfId="0" applyNumberFormat="1" applyFont="1" applyAlignment="1" applyProtection="1">
      <alignment vertical="top" wrapText="1"/>
    </xf>
    <xf numFmtId="0" fontId="16" fillId="4" borderId="2" xfId="0" applyFont="1" applyFill="1" applyBorder="1" applyAlignment="1" applyProtection="1">
      <alignment horizontal="right"/>
    </xf>
    <xf numFmtId="166" fontId="16" fillId="4" borderId="2" xfId="0" applyNumberFormat="1" applyFont="1" applyFill="1" applyBorder="1" applyAlignment="1" applyProtection="1">
      <alignment horizontal="left"/>
    </xf>
    <xf numFmtId="0" fontId="26" fillId="4" borderId="2" xfId="0" applyFont="1" applyFill="1" applyBorder="1" applyAlignment="1" applyProtection="1">
      <alignment horizontal="right"/>
    </xf>
    <xf numFmtId="169" fontId="26" fillId="4" borderId="2" xfId="1" applyNumberFormat="1" applyFont="1" applyFill="1" applyBorder="1" applyAlignment="1" applyProtection="1">
      <alignment horizontal="left"/>
    </xf>
    <xf numFmtId="0" fontId="14" fillId="0" borderId="0" xfId="0" applyFont="1" applyAlignment="1" applyProtection="1">
      <alignment horizontal="left"/>
    </xf>
    <xf numFmtId="166" fontId="17" fillId="3" borderId="22" xfId="0" applyNumberFormat="1" applyFont="1" applyFill="1" applyBorder="1" applyProtection="1">
      <protection locked="0"/>
    </xf>
    <xf numFmtId="166" fontId="17" fillId="3" borderId="1" xfId="0" applyNumberFormat="1" applyFont="1" applyFill="1" applyBorder="1" applyProtection="1">
      <protection locked="0"/>
    </xf>
    <xf numFmtId="166" fontId="17" fillId="3" borderId="23" xfId="0" applyNumberFormat="1" applyFont="1" applyFill="1" applyBorder="1" applyProtection="1">
      <protection locked="0"/>
    </xf>
    <xf numFmtId="166" fontId="17" fillId="3" borderId="38" xfId="0" applyNumberFormat="1" applyFont="1" applyFill="1" applyBorder="1" applyProtection="1">
      <protection locked="0"/>
    </xf>
    <xf numFmtId="166" fontId="17" fillId="3" borderId="39" xfId="0" applyNumberFormat="1" applyFont="1" applyFill="1" applyBorder="1" applyProtection="1">
      <protection locked="0"/>
    </xf>
    <xf numFmtId="0" fontId="15" fillId="0" borderId="0" xfId="0" applyFont="1" applyFill="1" applyBorder="1" applyAlignment="1" applyProtection="1">
      <alignment horizontal="right"/>
    </xf>
    <xf numFmtId="166" fontId="15" fillId="0" borderId="0" xfId="0" applyNumberFormat="1" applyFont="1" applyFill="1" applyBorder="1" applyProtection="1"/>
    <xf numFmtId="1" fontId="15" fillId="0" borderId="0" xfId="0" applyNumberFormat="1" applyFont="1" applyFill="1" applyBorder="1" applyProtection="1"/>
    <xf numFmtId="1" fontId="15" fillId="0" borderId="0" xfId="0" applyNumberFormat="1" applyFont="1" applyFill="1" applyBorder="1" applyAlignment="1" applyProtection="1">
      <alignment horizontal="center"/>
    </xf>
    <xf numFmtId="0" fontId="0" fillId="0" borderId="0" xfId="0" applyFill="1" applyProtection="1"/>
    <xf numFmtId="166" fontId="22" fillId="0" borderId="0" xfId="0" applyNumberFormat="1" applyFont="1" applyFill="1" applyProtection="1"/>
    <xf numFmtId="166" fontId="21" fillId="0" borderId="0" xfId="0" applyNumberFormat="1" applyFont="1" applyFill="1" applyProtection="1"/>
    <xf numFmtId="164" fontId="28" fillId="0" borderId="0" xfId="0" applyNumberFormat="1" applyFont="1" applyFill="1" applyProtection="1"/>
    <xf numFmtId="2" fontId="21" fillId="0" borderId="0" xfId="0" applyNumberFormat="1" applyFont="1" applyFill="1" applyProtection="1"/>
    <xf numFmtId="1" fontId="21" fillId="0" borderId="0" xfId="0" applyNumberFormat="1" applyFont="1" applyFill="1" applyProtection="1"/>
    <xf numFmtId="2" fontId="15" fillId="0" borderId="0" xfId="0" applyNumberFormat="1" applyFont="1" applyFill="1" applyProtection="1"/>
    <xf numFmtId="0" fontId="14" fillId="0" borderId="0" xfId="0" applyFont="1" applyAlignment="1" applyProtection="1">
      <alignment horizontal="left" vertical="top" wrapText="1"/>
      <protection locked="0"/>
    </xf>
    <xf numFmtId="0" fontId="15" fillId="0" borderId="4" xfId="0" applyFont="1" applyBorder="1" applyAlignment="1" applyProtection="1">
      <alignment horizontal="left" vertical="center"/>
    </xf>
    <xf numFmtId="0" fontId="15" fillId="0" borderId="5" xfId="0" applyFont="1" applyBorder="1" applyAlignment="1" applyProtection="1">
      <alignment horizontal="left" vertical="center"/>
    </xf>
    <xf numFmtId="0" fontId="15" fillId="0" borderId="6" xfId="0" applyFont="1" applyBorder="1" applyAlignment="1" applyProtection="1">
      <alignment horizontal="left" vertical="center"/>
    </xf>
    <xf numFmtId="0" fontId="0" fillId="0" borderId="20" xfId="0" applyBorder="1" applyAlignment="1" applyProtection="1">
      <alignment horizontal="right"/>
    </xf>
    <xf numFmtId="0" fontId="14" fillId="0" borderId="0" xfId="0" applyFont="1" applyAlignment="1" applyProtection="1">
      <alignment horizontal="left" vertical="top" wrapText="1"/>
    </xf>
    <xf numFmtId="0" fontId="15" fillId="4" borderId="4" xfId="0" applyFont="1" applyFill="1" applyBorder="1" applyAlignment="1" applyProtection="1">
      <alignment horizontal="left"/>
    </xf>
    <xf numFmtId="0" fontId="15" fillId="4" borderId="5" xfId="0" applyFont="1" applyFill="1" applyBorder="1" applyAlignment="1" applyProtection="1">
      <alignment horizontal="left"/>
    </xf>
    <xf numFmtId="0" fontId="15" fillId="4" borderId="6" xfId="0" applyFont="1" applyFill="1" applyBorder="1" applyAlignment="1" applyProtection="1">
      <alignment horizontal="left"/>
    </xf>
    <xf numFmtId="0" fontId="14" fillId="0" borderId="7" xfId="0" applyFont="1" applyBorder="1" applyAlignment="1" applyProtection="1">
      <alignment horizontal="left" vertical="top" wrapText="1"/>
    </xf>
    <xf numFmtId="0" fontId="4" fillId="3" borderId="10" xfId="0" applyFont="1" applyFill="1" applyBorder="1" applyAlignment="1" applyProtection="1">
      <alignment horizontal="left" vertical="top"/>
      <protection locked="0"/>
    </xf>
    <xf numFmtId="0" fontId="4" fillId="3" borderId="28" xfId="0" applyFont="1" applyFill="1" applyBorder="1" applyAlignment="1" applyProtection="1">
      <alignment horizontal="left" vertical="top"/>
      <protection locked="0"/>
    </xf>
    <xf numFmtId="0" fontId="4" fillId="3" borderId="12" xfId="0" applyFont="1" applyFill="1" applyBorder="1" applyAlignment="1" applyProtection="1">
      <alignment horizontal="left" vertical="top"/>
      <protection locked="0"/>
    </xf>
    <xf numFmtId="44" fontId="18" fillId="2" borderId="34" xfId="1" applyFont="1" applyFill="1" applyBorder="1" applyAlignment="1" applyProtection="1">
      <alignment horizontal="left"/>
    </xf>
    <xf numFmtId="44" fontId="18" fillId="2" borderId="35" xfId="1" applyFont="1" applyFill="1" applyBorder="1" applyAlignment="1" applyProtection="1">
      <alignment horizontal="left"/>
    </xf>
    <xf numFmtId="0" fontId="15" fillId="4" borderId="2" xfId="0" applyFont="1" applyFill="1" applyBorder="1" applyAlignment="1" applyProtection="1">
      <alignment horizontal="left"/>
    </xf>
    <xf numFmtId="1" fontId="15" fillId="4" borderId="2" xfId="0" applyNumberFormat="1" applyFont="1" applyFill="1" applyBorder="1" applyAlignment="1" applyProtection="1">
      <alignment horizontal="center"/>
    </xf>
    <xf numFmtId="0" fontId="15" fillId="0" borderId="16" xfId="0" applyFont="1" applyBorder="1" applyAlignment="1" applyProtection="1">
      <alignment horizontal="left" vertical="center" wrapText="1"/>
    </xf>
    <xf numFmtId="0" fontId="15" fillId="0" borderId="7" xfId="0" applyFont="1" applyBorder="1" applyAlignment="1" applyProtection="1">
      <alignment horizontal="left" vertical="center" wrapText="1"/>
    </xf>
    <xf numFmtId="0" fontId="15" fillId="0" borderId="18" xfId="0" applyFont="1" applyBorder="1" applyAlignment="1" applyProtection="1">
      <alignment horizontal="left" vertical="center" wrapText="1"/>
    </xf>
    <xf numFmtId="0" fontId="15" fillId="0" borderId="19" xfId="0" applyFont="1" applyBorder="1" applyAlignment="1" applyProtection="1">
      <alignment horizontal="left" vertical="center" wrapText="1"/>
    </xf>
    <xf numFmtId="0" fontId="15" fillId="0" borderId="20" xfId="0" applyFont="1" applyBorder="1" applyAlignment="1" applyProtection="1">
      <alignment horizontal="left" vertical="center" wrapText="1"/>
    </xf>
    <xf numFmtId="0" fontId="15" fillId="0" borderId="21" xfId="0" applyFont="1" applyBorder="1" applyAlignment="1" applyProtection="1">
      <alignment horizontal="left" vertical="center" wrapText="1"/>
    </xf>
    <xf numFmtId="0" fontId="15" fillId="4" borderId="4" xfId="0" applyFont="1" applyFill="1" applyBorder="1" applyAlignment="1" applyProtection="1">
      <alignment horizontal="center" wrapText="1"/>
    </xf>
    <xf numFmtId="0" fontId="15" fillId="4" borderId="5" xfId="0" applyFont="1" applyFill="1" applyBorder="1" applyAlignment="1" applyProtection="1">
      <alignment horizontal="center" wrapText="1"/>
    </xf>
    <xf numFmtId="0" fontId="15" fillId="4" borderId="6" xfId="0" applyFont="1" applyFill="1" applyBorder="1" applyAlignment="1" applyProtection="1">
      <alignment horizontal="center" wrapText="1"/>
    </xf>
    <xf numFmtId="0" fontId="15" fillId="0" borderId="0" xfId="0" applyFont="1" applyAlignment="1" applyProtection="1">
      <alignment horizontal="left" vertical="top" wrapText="1"/>
    </xf>
    <xf numFmtId="0" fontId="15" fillId="0" borderId="2" xfId="0" applyFont="1" applyBorder="1" applyAlignment="1" applyProtection="1">
      <alignment horizontal="right"/>
    </xf>
    <xf numFmtId="0" fontId="15" fillId="0" borderId="13" xfId="0" applyFont="1" applyBorder="1" applyAlignment="1" applyProtection="1">
      <alignment horizontal="right"/>
    </xf>
    <xf numFmtId="0" fontId="15" fillId="4" borderId="2" xfId="0" applyFont="1" applyFill="1" applyBorder="1" applyAlignment="1" applyProtection="1">
      <alignment horizontal="right"/>
    </xf>
    <xf numFmtId="0" fontId="14" fillId="0" borderId="0" xfId="0" applyFont="1" applyBorder="1" applyAlignment="1">
      <alignment horizontal="left"/>
    </xf>
    <xf numFmtId="0" fontId="7" fillId="0" borderId="0" xfId="0" applyFont="1" applyAlignment="1">
      <alignment horizontal="left" vertical="top" wrapText="1"/>
    </xf>
    <xf numFmtId="0" fontId="6" fillId="0" borderId="0" xfId="0" applyFont="1" applyAlignment="1">
      <alignment horizontal="left"/>
    </xf>
  </cellXfs>
  <cellStyles count="4">
    <cellStyle name="Comma" xfId="3" builtinId="3"/>
    <cellStyle name="Currency" xfId="1" builtinId="4"/>
    <cellStyle name="Normal" xfId="0" builtinId="0"/>
    <cellStyle name="Percent" xfId="2" builtinId="5"/>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7" tint="-0.499984740745262"/>
      </font>
      <fill>
        <patternFill>
          <bgColor theme="7" tint="0.79998168889431442"/>
        </patternFill>
      </fill>
      <border>
        <left style="thin">
          <color auto="1"/>
        </left>
        <right style="thin">
          <color auto="1"/>
        </right>
        <top style="thin">
          <color theme="7"/>
        </top>
        <bottom style="thin">
          <color theme="7"/>
        </bottom>
        <vertical/>
        <horizontal/>
      </border>
    </dxf>
    <dxf>
      <font>
        <color theme="7" tint="-0.499984740745262"/>
      </font>
      <fill>
        <patternFill>
          <bgColor theme="7" tint="0.79998168889431442"/>
        </patternFill>
      </fill>
      <border>
        <left style="thin">
          <color auto="1"/>
        </left>
        <right style="thin">
          <color auto="1"/>
        </right>
        <top style="thin">
          <color theme="7"/>
        </top>
        <bottom style="thin">
          <color theme="7"/>
        </bottom>
        <vertical/>
        <horizontal/>
      </border>
    </dxf>
  </dxfs>
  <tableStyles count="0" defaultTableStyle="TableStyleMedium2" defaultPivotStyle="PivotStyleLight16"/>
  <colors>
    <mruColors>
      <color rgb="FFFFC7CE"/>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showGridLines="0" tabSelected="1" view="pageLayout" zoomScaleNormal="100" zoomScaleSheetLayoutView="100" workbookViewId="0">
      <selection activeCell="B5" sqref="B5:D5"/>
    </sheetView>
  </sheetViews>
  <sheetFormatPr defaultColWidth="9.109375" defaultRowHeight="14.4"/>
  <cols>
    <col min="1" max="1" width="25.44140625" style="137" customWidth="1"/>
    <col min="2" max="5" width="8.88671875" style="137" customWidth="1"/>
    <col min="6" max="9" width="10.33203125" style="137" customWidth="1"/>
    <col min="10" max="16384" width="9.109375" style="137"/>
  </cols>
  <sheetData>
    <row r="1" spans="1:9" ht="18">
      <c r="A1" s="135" t="s">
        <v>195</v>
      </c>
      <c r="B1" s="136"/>
      <c r="C1" s="136"/>
      <c r="D1" s="136"/>
      <c r="E1" s="136"/>
      <c r="F1" s="136"/>
      <c r="G1" s="136"/>
      <c r="H1" s="197" t="s">
        <v>297</v>
      </c>
      <c r="I1" s="197"/>
    </row>
    <row r="2" spans="1:9" ht="96.75" customHeight="1">
      <c r="A2" s="202" t="s">
        <v>284</v>
      </c>
      <c r="B2" s="202"/>
      <c r="C2" s="202"/>
      <c r="D2" s="202"/>
      <c r="E2" s="202"/>
      <c r="F2" s="202"/>
      <c r="G2" s="202"/>
      <c r="H2" s="202"/>
      <c r="I2" s="202"/>
    </row>
    <row r="3" spans="1:9" s="138" customFormat="1" ht="12"/>
    <row r="4" spans="1:9" ht="18">
      <c r="A4" s="135" t="s">
        <v>303</v>
      </c>
      <c r="B4" s="136"/>
      <c r="C4" s="136"/>
      <c r="D4" s="136"/>
      <c r="E4" s="136"/>
      <c r="F4" s="136"/>
      <c r="G4" s="136"/>
      <c r="H4" s="197"/>
      <c r="I4" s="197"/>
    </row>
    <row r="5" spans="1:9">
      <c r="A5" s="137" t="s">
        <v>202</v>
      </c>
      <c r="B5" s="203" t="s">
        <v>197</v>
      </c>
      <c r="C5" s="204"/>
      <c r="D5" s="205"/>
      <c r="E5" s="139" t="s">
        <v>197</v>
      </c>
      <c r="F5" s="139" t="s">
        <v>198</v>
      </c>
      <c r="G5" s="139" t="s">
        <v>199</v>
      </c>
      <c r="H5" s="140"/>
      <c r="I5" s="140"/>
    </row>
    <row r="6" spans="1:9">
      <c r="A6" s="138" t="s">
        <v>276</v>
      </c>
    </row>
    <row r="7" spans="1:9" s="138" customFormat="1" ht="12"/>
    <row r="8" spans="1:9" ht="72" customHeight="1">
      <c r="A8" s="198" t="s">
        <v>277</v>
      </c>
      <c r="B8" s="198"/>
      <c r="C8" s="198"/>
      <c r="D8" s="198"/>
      <c r="E8" s="198"/>
      <c r="F8" s="198"/>
      <c r="G8" s="198"/>
      <c r="H8" s="198"/>
      <c r="I8" s="198"/>
    </row>
    <row r="9" spans="1:9" s="138" customFormat="1" ht="15" customHeight="1">
      <c r="A9" s="141"/>
      <c r="B9" s="141"/>
      <c r="C9" s="141"/>
      <c r="D9" s="141"/>
      <c r="E9" s="141"/>
      <c r="F9" s="141"/>
      <c r="G9" s="141"/>
      <c r="H9" s="141"/>
      <c r="I9" s="141"/>
    </row>
    <row r="10" spans="1:9">
      <c r="A10" s="137" t="s">
        <v>196</v>
      </c>
    </row>
    <row r="11" spans="1:9" ht="35.25" customHeight="1">
      <c r="A11" s="198" t="s">
        <v>278</v>
      </c>
      <c r="B11" s="198"/>
      <c r="C11" s="198"/>
      <c r="D11" s="198"/>
      <c r="E11" s="198"/>
      <c r="F11" s="198"/>
      <c r="G11" s="198"/>
      <c r="H11" s="198"/>
      <c r="I11" s="198"/>
    </row>
    <row r="12" spans="1:9" ht="26.25" customHeight="1">
      <c r="A12" s="142" t="s">
        <v>252</v>
      </c>
      <c r="B12" s="199" t="s">
        <v>200</v>
      </c>
      <c r="C12" s="200"/>
      <c r="D12" s="200"/>
      <c r="E12" s="201"/>
      <c r="F12" s="143" t="s">
        <v>201</v>
      </c>
      <c r="G12" s="143" t="s">
        <v>204</v>
      </c>
      <c r="H12" s="143" t="s">
        <v>206</v>
      </c>
      <c r="I12" s="143" t="s">
        <v>205</v>
      </c>
    </row>
    <row r="13" spans="1:9">
      <c r="A13" s="54"/>
      <c r="B13" s="194" t="str">
        <f>IF(OR(A13=Dropdowns!$A$7,A13=Dropdowns!$A$8,A13=Dropdowns!$A$23,A13=Dropdowns!$A$32,A13=Dropdowns!$A$33,A13=Dropdowns!$A$35,AND(A13=Dropdowns!$A$36,$B$5=Dropdowns!$A$2)),Dropdowns!$D$12,
IF(OR(A13=Dropdowns!$A$6,A13=Dropdowns!$A$9,A13=Dropdowns!$A$10,A13=Dropdowns!$A$11,A13=Dropdowns!$A$18,A13=Dropdowns!$A$19,A13=Dropdowns!$A$20,A13=Dropdowns!$A$36,A13=Dropdowns!$A$48,A13=Dropdowns!$A$49,A13=Dropdowns!$A$50,A13=Dropdowns!$A$51,A13=Dropdowns!$A$52,A13=Dropdowns!$A$53,A13=Dropdowns!$A$54,A13=Dropdowns!$A$55,A13=Dropdowns!$A$56,A13=Dropdowns!$A$57,A13=Dropdowns!$A$58,A13=Dropdowns!$A$59,A13=Dropdowns!$A$60,A13=Dropdowns!$A$61,A13=Dropdowns!$A$62,A13=Dropdowns!$A$63),Dropdowns!$D$13,
IF(A13=Dropdowns!$A$12,Dropdowns!$D$2,
IF(OR(A13=Dropdowns!$A$13,A13=Dropdowns!$A$14),Dropdowns!$D$4,
IF(A13=Dropdowns!$A$15,Dropdowns!$D$3,
IF(OR(A13=Dropdowns!$A$16,A13=Dropdowns!$A$17),Dropdowns!$D$5,
IF(OR(A13=Dropdowns!$A$21,A13=Dropdowns!$A$22),Dropdowns!$D$6,
IF(AND($B$5=Dropdowns!$A$2,A13=Dropdowns!$A$24),Dropdowns!$D$7,
IF(A13=Dropdowns!$A$24,Dropdowns!$E$7,
IF(AND($B$5=Dropdowns!$A$2,OR(A13=Dropdowns!$A$25,A13=Dropdowns!$A$26,A13=Dropdowns!$A$30,A13=Dropdowns!$A$31,A13=Dropdowns!$A$34)),Dropdowns!$D$8,
IF(OR(A13=Dropdowns!$A$25,A13=Dropdowns!$A$26,A13=Dropdowns!$A$30,A13=Dropdowns!$A$31,A13=Dropdowns!$A$34),Dropdowns!$E$8,
IF(AND($B$5=Dropdowns!$A$2,A13=Dropdowns!$A$27),Dropdowns!$D$9,
IF(A13=Dropdowns!$A$27,Dropdowns!$E$9,
IF(AND($B$5=Dropdowns!$A$2,A13=Dropdowns!$A$29),Dropdowns!$D$10,
IF(A13=Dropdowns!$A$29,Dropdowns!$E$10,
IF(AND($B$5=Dropdowns!$A$2,OR(A13=Dropdowns!$A$28,A13=Dropdowns!$A$38,A13=Dropdowns!$A$39,A13=Dropdowns!$A$40,A13=Dropdowns!$A$41,A13=Dropdowns!$A$42,A13=Dropdowns!$A$43,A13=Dropdowns!$A$44,A13=Dropdowns!$A$45,A13=Dropdowns!$A$46,A13=Dropdowns!$A$47)),Dropdowns!$D$11,
IF(OR(A13=Dropdowns!$A$28,A13=Dropdowns!$A$38,A13=Dropdowns!$A$39,A13=Dropdowns!$A$40,A13=Dropdowns!$A$41,A13=Dropdowns!$A$42,A13=Dropdowns!$A$43,A13=Dropdowns!$A$44,A13=Dropdowns!$A$45,A13=Dropdowns!$A$46,A13=Dropdowns!$A$47),Dropdowns!$E$11,"")))))))))))))))))</f>
        <v/>
      </c>
      <c r="C13" s="195"/>
      <c r="D13" s="195"/>
      <c r="E13" s="196"/>
      <c r="F13" s="46"/>
      <c r="G13" s="47"/>
      <c r="H13" s="45"/>
      <c r="I13" s="144" t="str">
        <f>IF(B13=Dropdowns!$D$13,0,
IF(B13=Dropdowns!$D$12,"?",
IF(B13=Dropdowns!$D$2,H13*('Source Amount (6.3.3)'!$K$33/1000*G13+(EXP(-15.49+1.59*LN(G13)))/'Source Amount (6.3.3)'!$K$15),
IF(B13=Dropdowns!$D$4,0,
IF(B13=Dropdowns!$D$3,H13*('Source Amount (6.3.3)'!$K$33/1000*G13+(EXP(-16.14+1.59*LN(G13)))/'Source Amount (6.3.3)'!$K$15),
IF(B13=Dropdowns!$D$5,H13*('Source Amount (6.3.3)'!$K$33/1000*G13+(EXP(-14.82+1.59*LN(G13)))/'Source Amount (6.3.3)'!$K$15),
IF(B13=Dropdowns!$D$6,H13*('Source Amount (6.3.3)'!$J$33*F13),
IF(B13=Dropdowns!$D$7,H13*('Source Amount (6.3.3)'!$D$33/1000*G13),
IF(B13=Dropdowns!$E$7,H13*('Source Amount (6.3.3)'!$D$37/1000*G13),
IF(B13=Dropdowns!$D$8,H13*('Source Amount (6.3.3)'!$E$33/1000*G13),
IF(B13=Dropdowns!$E$8,H13*('Source Amount (6.3.3)'!$E$37/1000*G13),
IF(B13=Dropdowns!$D$9,H13*('Source Amount (6.3.3)'!$F$33/1000*G13),
IF(B13=Dropdowns!$E$9,H13*('Source Amount (6.3.3)'!$F$37/1000*G13),
IF(B13=Dropdowns!$D$10,H13*('Source Amount (6.3.3)'!$G$33/1000*G13),
IF(B13=Dropdowns!$E$10,H13*('Source Amount (6.3.3)'!$G$37/1000*G13),
IF(B13=Dropdowns!$D$11,H13*('Source Amount (6.3.3)'!$H$33/1000*G13),
IF(B13=Dropdowns!$E$11,H13*('Source Amount (6.3.3)'!$H$37/1000*G13),"")))))))))))))))))</f>
        <v/>
      </c>
    </row>
    <row r="14" spans="1:9">
      <c r="A14" s="55"/>
      <c r="B14" s="194" t="str">
        <f>IF(OR(A14=Dropdowns!$A$7,A14=Dropdowns!$A$8,A14=Dropdowns!$A$23,A14=Dropdowns!$A$32,A14=Dropdowns!$A$33,A14=Dropdowns!$A$35,AND(A14=Dropdowns!$A$36,$B$5=Dropdowns!$A$2)),Dropdowns!$D$12,
IF(OR(A14=Dropdowns!$A$6,A14=Dropdowns!$A$9,A14=Dropdowns!$A$10,A14=Dropdowns!$A$11,A14=Dropdowns!$A$18,A14=Dropdowns!$A$19,A14=Dropdowns!$A$20,A14=Dropdowns!$A$36,A14=Dropdowns!$A$48,A14=Dropdowns!$A$49,A14=Dropdowns!$A$50,A14=Dropdowns!$A$51,A14=Dropdowns!$A$52,A14=Dropdowns!$A$53,A14=Dropdowns!$A$54,A14=Dropdowns!$A$55,A14=Dropdowns!$A$56,A14=Dropdowns!$A$57,A14=Dropdowns!$A$58,A14=Dropdowns!$A$59,A14=Dropdowns!$A$60,A14=Dropdowns!$A$61,A14=Dropdowns!$A$62,A14=Dropdowns!$A$63),Dropdowns!$D$13,
IF(A14=Dropdowns!$A$12,Dropdowns!$D$2,
IF(OR(A14=Dropdowns!$A$13,A14=Dropdowns!$A$14),Dropdowns!$D$4,
IF(A14=Dropdowns!$A$15,Dropdowns!$D$3,
IF(OR(A14=Dropdowns!$A$16,A14=Dropdowns!$A$17),Dropdowns!$D$5,
IF(OR(A14=Dropdowns!$A$21,A14=Dropdowns!$A$22),Dropdowns!$D$6,
IF(AND($B$5=Dropdowns!$A$2,A14=Dropdowns!$A$24),Dropdowns!$D$7,
IF(A14=Dropdowns!$A$24,Dropdowns!$E$7,
IF(AND($B$5=Dropdowns!$A$2,OR(A14=Dropdowns!$A$25,A14=Dropdowns!$A$26,A14=Dropdowns!$A$30,A14=Dropdowns!$A$31,A14=Dropdowns!$A$34)),Dropdowns!$D$8,
IF(OR(A14=Dropdowns!$A$25,A14=Dropdowns!$A$26,A14=Dropdowns!$A$30,A14=Dropdowns!$A$31,A14=Dropdowns!$A$34),Dropdowns!$E$8,
IF(AND($B$5=Dropdowns!$A$2,A14=Dropdowns!$A$27),Dropdowns!$D$9,
IF(A14=Dropdowns!$A$27,Dropdowns!$E$9,
IF(AND($B$5=Dropdowns!$A$2,A14=Dropdowns!$A$29),Dropdowns!$D$10,
IF(A14=Dropdowns!$A$29,Dropdowns!$E$10,
IF(AND($B$5=Dropdowns!$A$2,OR(A14=Dropdowns!$A$28,A14=Dropdowns!$A$38,A14=Dropdowns!$A$39,A14=Dropdowns!$A$40,A14=Dropdowns!$A$41,A14=Dropdowns!$A$42,A14=Dropdowns!$A$43,A14=Dropdowns!$A$44,A14=Dropdowns!$A$45,A14=Dropdowns!$A$46,A14=Dropdowns!$A$47)),Dropdowns!$D$11,
IF(OR(A14=Dropdowns!$A$28,A14=Dropdowns!$A$38,A14=Dropdowns!$A$39,A14=Dropdowns!$A$40,A14=Dropdowns!$A$41,A14=Dropdowns!$A$42,A14=Dropdowns!$A$43,A14=Dropdowns!$A$44,A14=Dropdowns!$A$45,A14=Dropdowns!$A$46,A14=Dropdowns!$A$47),Dropdowns!$E$11,"")))))))))))))))))</f>
        <v/>
      </c>
      <c r="C14" s="195"/>
      <c r="D14" s="195"/>
      <c r="E14" s="196"/>
      <c r="F14" s="49"/>
      <c r="G14" s="50"/>
      <c r="H14" s="48"/>
      <c r="I14" s="145" t="str">
        <f>IF(B14=Dropdowns!$D$13,0,
IF(B14=Dropdowns!$D$12,"?",
IF(B14=Dropdowns!$D$2,H14*('Source Amount (6.3.3)'!$K$33/1000*G14+(EXP(-15.49+1.59*LN(G14)))/'Source Amount (6.3.3)'!$K$15),
IF(B14=Dropdowns!$D$4,0,
IF(B14=Dropdowns!$D$3,H14*('Source Amount (6.3.3)'!$K$33/1000*G14+(EXP(-16.14+1.59*LN(G14)))/'Source Amount (6.3.3)'!$K$15),
IF(B14=Dropdowns!$D$5,H14*('Source Amount (6.3.3)'!$K$33/1000*G14+(EXP(-14.82+1.59*LN(G14)))/'Source Amount (6.3.3)'!$K$15),
IF(B14=Dropdowns!$D$6,H14*('Source Amount (6.3.3)'!$J$33*F14),
IF(B14=Dropdowns!$D$7,H14*('Source Amount (6.3.3)'!$D$33/1000*G14),
IF(B14=Dropdowns!$E$7,H14*('Source Amount (6.3.3)'!$D$37/1000*G14),
IF(B14=Dropdowns!$D$8,H14*('Source Amount (6.3.3)'!$E$33/1000*G14),
IF(B14=Dropdowns!$E$8,H14*('Source Amount (6.3.3)'!$E$37/1000*G14),
IF(B14=Dropdowns!$D$9,H14*('Source Amount (6.3.3)'!$F$33/1000*G14),
IF(B14=Dropdowns!$E$9,H14*('Source Amount (6.3.3)'!$F$37/1000*G14),
IF(B14=Dropdowns!$D$10,H14*('Source Amount (6.3.3)'!$G$33/1000*G14),
IF(B14=Dropdowns!$E$10,H14*('Source Amount (6.3.3)'!$G$37/1000*G14),
IF(B14=Dropdowns!$D$11,H14*('Source Amount (6.3.3)'!$H$33/1000*G14),
IF(B14=Dropdowns!$E$11,H14*('Source Amount (6.3.3)'!$H$37/1000*G14),"")))))))))))))))))</f>
        <v/>
      </c>
    </row>
    <row r="15" spans="1:9">
      <c r="A15" s="55"/>
      <c r="B15" s="194" t="str">
        <f>IF(OR(A15=Dropdowns!$A$7,A15=Dropdowns!$A$8,A15=Dropdowns!$A$23,A15=Dropdowns!$A$32,A15=Dropdowns!$A$33,A15=Dropdowns!$A$35,AND(A15=Dropdowns!$A$36,$B$5=Dropdowns!$A$2)),Dropdowns!$D$12,
IF(OR(A15=Dropdowns!$A$6,A15=Dropdowns!$A$9,A15=Dropdowns!$A$10,A15=Dropdowns!$A$11,A15=Dropdowns!$A$18,A15=Dropdowns!$A$19,A15=Dropdowns!$A$20,A15=Dropdowns!$A$36,A15=Dropdowns!$A$48,A15=Dropdowns!$A$49,A15=Dropdowns!$A$50,A15=Dropdowns!$A$51,A15=Dropdowns!$A$52,A15=Dropdowns!$A$53,A15=Dropdowns!$A$54,A15=Dropdowns!$A$55,A15=Dropdowns!$A$56,A15=Dropdowns!$A$57,A15=Dropdowns!$A$58,A15=Dropdowns!$A$59,A15=Dropdowns!$A$60,A15=Dropdowns!$A$61,A15=Dropdowns!$A$62,A15=Dropdowns!$A$63),Dropdowns!$D$13,
IF(A15=Dropdowns!$A$12,Dropdowns!$D$2,
IF(OR(A15=Dropdowns!$A$13,A15=Dropdowns!$A$14),Dropdowns!$D$4,
IF(A15=Dropdowns!$A$15,Dropdowns!$D$3,
IF(OR(A15=Dropdowns!$A$16,A15=Dropdowns!$A$17),Dropdowns!$D$5,
IF(OR(A15=Dropdowns!$A$21,A15=Dropdowns!$A$22),Dropdowns!$D$6,
IF(AND($B$5=Dropdowns!$A$2,A15=Dropdowns!$A$24),Dropdowns!$D$7,
IF(A15=Dropdowns!$A$24,Dropdowns!$E$7,
IF(AND($B$5=Dropdowns!$A$2,OR(A15=Dropdowns!$A$25,A15=Dropdowns!$A$26,A15=Dropdowns!$A$30,A15=Dropdowns!$A$31,A15=Dropdowns!$A$34)),Dropdowns!$D$8,
IF(OR(A15=Dropdowns!$A$25,A15=Dropdowns!$A$26,A15=Dropdowns!$A$30,A15=Dropdowns!$A$31,A15=Dropdowns!$A$34),Dropdowns!$E$8,
IF(AND($B$5=Dropdowns!$A$2,A15=Dropdowns!$A$27),Dropdowns!$D$9,
IF(A15=Dropdowns!$A$27,Dropdowns!$E$9,
IF(AND($B$5=Dropdowns!$A$2,A15=Dropdowns!$A$29),Dropdowns!$D$10,
IF(A15=Dropdowns!$A$29,Dropdowns!$E$10,
IF(AND($B$5=Dropdowns!$A$2,OR(A15=Dropdowns!$A$28,A15=Dropdowns!$A$38,A15=Dropdowns!$A$39,A15=Dropdowns!$A$40,A15=Dropdowns!$A$41,A15=Dropdowns!$A$42,A15=Dropdowns!$A$43,A15=Dropdowns!$A$44,A15=Dropdowns!$A$45,A15=Dropdowns!$A$46,A15=Dropdowns!$A$47)),Dropdowns!$D$11,
IF(OR(A15=Dropdowns!$A$28,A15=Dropdowns!$A$38,A15=Dropdowns!$A$39,A15=Dropdowns!$A$40,A15=Dropdowns!$A$41,A15=Dropdowns!$A$42,A15=Dropdowns!$A$43,A15=Dropdowns!$A$44,A15=Dropdowns!$A$45,A15=Dropdowns!$A$46,A15=Dropdowns!$A$47),Dropdowns!$E$11,"")))))))))))))))))</f>
        <v/>
      </c>
      <c r="C15" s="195"/>
      <c r="D15" s="195"/>
      <c r="E15" s="196"/>
      <c r="F15" s="49"/>
      <c r="G15" s="50"/>
      <c r="H15" s="48"/>
      <c r="I15" s="144" t="str">
        <f>IF(B15=Dropdowns!$D$13,0,
IF(B15=Dropdowns!$D$12,"?",
IF(B15=Dropdowns!$D$2,H15*('Source Amount (6.3.3)'!$K$33/1000*G15+(EXP(-15.49+1.59*LN(G15)))/'Source Amount (6.3.3)'!$K$15),
IF(B15=Dropdowns!$D$4,0,
IF(B15=Dropdowns!$D$3,H15*('Source Amount (6.3.3)'!$K$33/1000*G15+(EXP(-16.14+1.59*LN(G15)))/'Source Amount (6.3.3)'!$K$15),
IF(B15=Dropdowns!$D$5,H15*('Source Amount (6.3.3)'!$K$33/1000*G15+(EXP(-14.82+1.59*LN(G15)))/'Source Amount (6.3.3)'!$K$15),
IF(B15=Dropdowns!$D$6,H15*('Source Amount (6.3.3)'!$J$33*F15),
IF(B15=Dropdowns!$D$7,H15*('Source Amount (6.3.3)'!$D$33/1000*G15),
IF(B15=Dropdowns!$E$7,H15*('Source Amount (6.3.3)'!$D$37/1000*G15),
IF(B15=Dropdowns!$D$8,H15*('Source Amount (6.3.3)'!$E$33/1000*G15),
IF(B15=Dropdowns!$E$8,H15*('Source Amount (6.3.3)'!$E$37/1000*G15),
IF(B15=Dropdowns!$D$9,H15*('Source Amount (6.3.3)'!$F$33/1000*G15),
IF(B15=Dropdowns!$E$9,H15*('Source Amount (6.3.3)'!$F$37/1000*G15),
IF(B15=Dropdowns!$D$10,H15*('Source Amount (6.3.3)'!$G$33/1000*G15),
IF(B15=Dropdowns!$E$10,H15*('Source Amount (6.3.3)'!$G$37/1000*G15),
IF(B15=Dropdowns!$D$11,H15*('Source Amount (6.3.3)'!$H$33/1000*G15),
IF(B15=Dropdowns!$E$11,H15*('Source Amount (6.3.3)'!$H$37/1000*G15),"")))))))))))))))))</f>
        <v/>
      </c>
    </row>
    <row r="16" spans="1:9">
      <c r="A16" s="55"/>
      <c r="B16" s="194" t="str">
        <f>IF(OR(A16=Dropdowns!$A$7,A16=Dropdowns!$A$8,A16=Dropdowns!$A$23,A16=Dropdowns!$A$32,A16=Dropdowns!$A$33,A16=Dropdowns!$A$35,AND(A16=Dropdowns!$A$36,$B$5=Dropdowns!$A$2)),Dropdowns!$D$12,
IF(OR(A16=Dropdowns!$A$6,A16=Dropdowns!$A$9,A16=Dropdowns!$A$10,A16=Dropdowns!$A$11,A16=Dropdowns!$A$18,A16=Dropdowns!$A$19,A16=Dropdowns!$A$20,A16=Dropdowns!$A$36,A16=Dropdowns!$A$48,A16=Dropdowns!$A$49,A16=Dropdowns!$A$50,A16=Dropdowns!$A$51,A16=Dropdowns!$A$52,A16=Dropdowns!$A$53,A16=Dropdowns!$A$54,A16=Dropdowns!$A$55,A16=Dropdowns!$A$56,A16=Dropdowns!$A$57,A16=Dropdowns!$A$58,A16=Dropdowns!$A$59,A16=Dropdowns!$A$60,A16=Dropdowns!$A$61,A16=Dropdowns!$A$62,A16=Dropdowns!$A$63),Dropdowns!$D$13,
IF(A16=Dropdowns!$A$12,Dropdowns!$D$2,
IF(OR(A16=Dropdowns!$A$13,A16=Dropdowns!$A$14),Dropdowns!$D$4,
IF(A16=Dropdowns!$A$15,Dropdowns!$D$3,
IF(OR(A16=Dropdowns!$A$16,A16=Dropdowns!$A$17),Dropdowns!$D$5,
IF(OR(A16=Dropdowns!$A$21,A16=Dropdowns!$A$22),Dropdowns!$D$6,
IF(AND($B$5=Dropdowns!$A$2,A16=Dropdowns!$A$24),Dropdowns!$D$7,
IF(A16=Dropdowns!$A$24,Dropdowns!$E$7,
IF(AND($B$5=Dropdowns!$A$2,OR(A16=Dropdowns!$A$25,A16=Dropdowns!$A$26,A16=Dropdowns!$A$30,A16=Dropdowns!$A$31,A16=Dropdowns!$A$34)),Dropdowns!$D$8,
IF(OR(A16=Dropdowns!$A$25,A16=Dropdowns!$A$26,A16=Dropdowns!$A$30,A16=Dropdowns!$A$31,A16=Dropdowns!$A$34),Dropdowns!$E$8,
IF(AND($B$5=Dropdowns!$A$2,A16=Dropdowns!$A$27),Dropdowns!$D$9,
IF(A16=Dropdowns!$A$27,Dropdowns!$E$9,
IF(AND($B$5=Dropdowns!$A$2,A16=Dropdowns!$A$29),Dropdowns!$D$10,
IF(A16=Dropdowns!$A$29,Dropdowns!$E$10,
IF(AND($B$5=Dropdowns!$A$2,OR(A16=Dropdowns!$A$28,A16=Dropdowns!$A$38,A16=Dropdowns!$A$39,A16=Dropdowns!$A$40,A16=Dropdowns!$A$41,A16=Dropdowns!$A$42,A16=Dropdowns!$A$43,A16=Dropdowns!$A$44,A16=Dropdowns!$A$45,A16=Dropdowns!$A$46,A16=Dropdowns!$A$47)),Dropdowns!$D$11,
IF(OR(A16=Dropdowns!$A$28,A16=Dropdowns!$A$38,A16=Dropdowns!$A$39,A16=Dropdowns!$A$40,A16=Dropdowns!$A$41,A16=Dropdowns!$A$42,A16=Dropdowns!$A$43,A16=Dropdowns!$A$44,A16=Dropdowns!$A$45,A16=Dropdowns!$A$46,A16=Dropdowns!$A$47),Dropdowns!$E$11,"")))))))))))))))))</f>
        <v/>
      </c>
      <c r="C16" s="195"/>
      <c r="D16" s="195"/>
      <c r="E16" s="196"/>
      <c r="F16" s="49"/>
      <c r="G16" s="50"/>
      <c r="H16" s="48"/>
      <c r="I16" s="144" t="str">
        <f>IF(B16=Dropdowns!$D$13,0,
IF(B16=Dropdowns!$D$12,"?",
IF(B16=Dropdowns!$D$2,H16*('Source Amount (6.3.3)'!$K$33/1000*G16+(EXP(-15.49+1.59*LN(G16)))/'Source Amount (6.3.3)'!$K$15),
IF(B16=Dropdowns!$D$4,0,
IF(B16=Dropdowns!$D$3,H16*('Source Amount (6.3.3)'!$K$33/1000*G16+(EXP(-16.14+1.59*LN(G16)))/'Source Amount (6.3.3)'!$K$15),
IF(B16=Dropdowns!$D$5,H16*('Source Amount (6.3.3)'!$K$33/1000*G16+(EXP(-14.82+1.59*LN(G16)))/'Source Amount (6.3.3)'!$K$15),
IF(B16=Dropdowns!$D$6,H16*('Source Amount (6.3.3)'!$J$33*F16),
IF(B16=Dropdowns!$D$7,H16*('Source Amount (6.3.3)'!$D$33/1000*G16),
IF(B16=Dropdowns!$E$7,H16*('Source Amount (6.3.3)'!$D$37/1000*G16),
IF(B16=Dropdowns!$D$8,H16*('Source Amount (6.3.3)'!$E$33/1000*G16),
IF(B16=Dropdowns!$E$8,H16*('Source Amount (6.3.3)'!$E$37/1000*G16),
IF(B16=Dropdowns!$D$9,H16*('Source Amount (6.3.3)'!$F$33/1000*G16),
IF(B16=Dropdowns!$E$9,H16*('Source Amount (6.3.3)'!$F$37/1000*G16),
IF(B16=Dropdowns!$D$10,H16*('Source Amount (6.3.3)'!$G$33/1000*G16),
IF(B16=Dropdowns!$E$10,H16*('Source Amount (6.3.3)'!$G$37/1000*G16),
IF(B16=Dropdowns!$D$11,H16*('Source Amount (6.3.3)'!$H$33/1000*G16),
IF(B16=Dropdowns!$E$11,H16*('Source Amount (6.3.3)'!$H$37/1000*G16),"")))))))))))))))))</f>
        <v/>
      </c>
    </row>
    <row r="17" spans="1:9">
      <c r="A17" s="56"/>
      <c r="B17" s="194" t="str">
        <f>IF(OR(A17=Dropdowns!$A$7,A17=Dropdowns!$A$8,A17=Dropdowns!$A$23,A17=Dropdowns!$A$32,A17=Dropdowns!$A$33,A17=Dropdowns!$A$35,AND(A17=Dropdowns!$A$36,$B$5=Dropdowns!$A$2)),Dropdowns!$D$12,
IF(OR(A17=Dropdowns!$A$6,A17=Dropdowns!$A$9,A17=Dropdowns!$A$10,A17=Dropdowns!$A$11,A17=Dropdowns!$A$18,A17=Dropdowns!$A$19,A17=Dropdowns!$A$20,A17=Dropdowns!$A$36,A17=Dropdowns!$A$48,A17=Dropdowns!$A$49,A17=Dropdowns!$A$50,A17=Dropdowns!$A$51,A17=Dropdowns!$A$52,A17=Dropdowns!$A$53,A17=Dropdowns!$A$54,A17=Dropdowns!$A$55,A17=Dropdowns!$A$56,A17=Dropdowns!$A$57,A17=Dropdowns!$A$58,A17=Dropdowns!$A$59,A17=Dropdowns!$A$60,A17=Dropdowns!$A$61,A17=Dropdowns!$A$62,A17=Dropdowns!$A$63),Dropdowns!$D$13,
IF(A17=Dropdowns!$A$12,Dropdowns!$D$2,
IF(OR(A17=Dropdowns!$A$13,A17=Dropdowns!$A$14),Dropdowns!$D$4,
IF(A17=Dropdowns!$A$15,Dropdowns!$D$3,
IF(OR(A17=Dropdowns!$A$16,A17=Dropdowns!$A$17),Dropdowns!$D$5,
IF(OR(A17=Dropdowns!$A$21,A17=Dropdowns!$A$22),Dropdowns!$D$6,
IF(AND($B$5=Dropdowns!$A$2,A17=Dropdowns!$A$24),Dropdowns!$D$7,
IF(A17=Dropdowns!$A$24,Dropdowns!$E$7,
IF(AND($B$5=Dropdowns!$A$2,OR(A17=Dropdowns!$A$25,A17=Dropdowns!$A$26,A17=Dropdowns!$A$30,A17=Dropdowns!$A$31,A17=Dropdowns!$A$34)),Dropdowns!$D$8,
IF(OR(A17=Dropdowns!$A$25,A17=Dropdowns!$A$26,A17=Dropdowns!$A$30,A17=Dropdowns!$A$31,A17=Dropdowns!$A$34),Dropdowns!$E$8,
IF(AND($B$5=Dropdowns!$A$2,A17=Dropdowns!$A$27),Dropdowns!$D$9,
IF(A17=Dropdowns!$A$27,Dropdowns!$E$9,
IF(AND($B$5=Dropdowns!$A$2,A17=Dropdowns!$A$29),Dropdowns!$D$10,
IF(A17=Dropdowns!$A$29,Dropdowns!$E$10,
IF(AND($B$5=Dropdowns!$A$2,OR(A17=Dropdowns!$A$28,A17=Dropdowns!$A$38,A17=Dropdowns!$A$39,A17=Dropdowns!$A$40,A17=Dropdowns!$A$41,A17=Dropdowns!$A$42,A17=Dropdowns!$A$43,A17=Dropdowns!$A$44,A17=Dropdowns!$A$45,A17=Dropdowns!$A$46,A17=Dropdowns!$A$47)),Dropdowns!$D$11,
IF(OR(A17=Dropdowns!$A$28,A17=Dropdowns!$A$38,A17=Dropdowns!$A$39,A17=Dropdowns!$A$40,A17=Dropdowns!$A$41,A17=Dropdowns!$A$42,A17=Dropdowns!$A$43,A17=Dropdowns!$A$44,A17=Dropdowns!$A$45,A17=Dropdowns!$A$46,A17=Dropdowns!$A$47),Dropdowns!$E$11,"")))))))))))))))))</f>
        <v/>
      </c>
      <c r="C17" s="195"/>
      <c r="D17" s="195"/>
      <c r="E17" s="196"/>
      <c r="F17" s="52"/>
      <c r="G17" s="53"/>
      <c r="H17" s="51"/>
      <c r="I17" s="144" t="str">
        <f>IF(B17=Dropdowns!$D$13,0,
IF(B17=Dropdowns!$D$12,"?",
IF(B17=Dropdowns!$D$2,H17*('Source Amount (6.3.3)'!$K$33/1000*G17+(EXP(-15.49+1.59*LN(G17)))/'Source Amount (6.3.3)'!$K$15),
IF(B17=Dropdowns!$D$4,0,
IF(B17=Dropdowns!$D$3,H17*('Source Amount (6.3.3)'!$K$33/1000*G17+(EXP(-16.14+1.59*LN(G17)))/'Source Amount (6.3.3)'!$K$15),
IF(B17=Dropdowns!$D$5,H17*('Source Amount (6.3.3)'!$K$33/1000*G17+(EXP(-14.82+1.59*LN(G17)))/'Source Amount (6.3.3)'!$K$15),
IF(B17=Dropdowns!$D$6,H17*('Source Amount (6.3.3)'!$J$33*F17),
IF(B17=Dropdowns!$D$7,H17*('Source Amount (6.3.3)'!$D$33/1000*G17),
IF(B17=Dropdowns!$E$7,H17*('Source Amount (6.3.3)'!$D$37/1000*G17),
IF(B17=Dropdowns!$D$8,H17*('Source Amount (6.3.3)'!$E$33/1000*G17),
IF(B17=Dropdowns!$E$8,H17*('Source Amount (6.3.3)'!$E$37/1000*G17),
IF(B17=Dropdowns!$D$9,H17*('Source Amount (6.3.3)'!$F$33/1000*G17),
IF(B17=Dropdowns!$E$9,H17*('Source Amount (6.3.3)'!$F$37/1000*G17),
IF(B17=Dropdowns!$D$10,H17*('Source Amount (6.3.3)'!$G$33/1000*G17),
IF(B17=Dropdowns!$E$10,H17*('Source Amount (6.3.3)'!$G$37/1000*G17),
IF(B17=Dropdowns!$D$11,H17*('Source Amount (6.3.3)'!$H$33/1000*G17),
IF(B17=Dropdowns!$E$11,H17*('Source Amount (6.3.3)'!$H$37/1000*G17),"")))))))))))))))))</f>
        <v/>
      </c>
    </row>
    <row r="18" spans="1:9">
      <c r="H18" s="146" t="s">
        <v>255</v>
      </c>
      <c r="I18" s="147">
        <f>SUM(I13:I17)-SUMIF(A13:A17,Dropdowns!A13,I13:I17)-SUMIF(A13:A17,Dropdowns!A14,I13:I17)-SUMIF(A13:A17,Dropdowns!A16,I13:I17)-SUMIF(A13:A17,Dropdowns!A17,I13:I17)</f>
        <v>0</v>
      </c>
    </row>
    <row r="19" spans="1:9" s="138" customFormat="1" ht="12">
      <c r="I19" s="148"/>
    </row>
    <row r="20" spans="1:9">
      <c r="A20" s="137" t="s">
        <v>208</v>
      </c>
    </row>
    <row r="21" spans="1:9" ht="37.5" customHeight="1">
      <c r="A21" s="198" t="s">
        <v>279</v>
      </c>
      <c r="B21" s="198"/>
      <c r="C21" s="198"/>
      <c r="D21" s="198"/>
      <c r="E21" s="198"/>
      <c r="F21" s="198"/>
      <c r="G21" s="198"/>
      <c r="H21" s="198"/>
      <c r="I21" s="198"/>
    </row>
    <row r="22" spans="1:9" ht="26.25" customHeight="1">
      <c r="A22" s="142" t="s">
        <v>207</v>
      </c>
      <c r="B22" s="199" t="s">
        <v>200</v>
      </c>
      <c r="C22" s="200"/>
      <c r="D22" s="200"/>
      <c r="E22" s="201"/>
      <c r="F22" s="143" t="s">
        <v>201</v>
      </c>
      <c r="G22" s="143" t="s">
        <v>204</v>
      </c>
      <c r="H22" s="143" t="s">
        <v>206</v>
      </c>
      <c r="I22" s="149" t="s">
        <v>205</v>
      </c>
    </row>
    <row r="23" spans="1:9">
      <c r="A23" s="54"/>
      <c r="B23" s="194" t="str">
        <f>IF(OR(A23=Dropdowns!$A$7,A23=Dropdowns!$A$8,A23=Dropdowns!$A$23,A23=Dropdowns!$A$32,A23=Dropdowns!$A$33,A23=Dropdowns!$A$35,AND(A23=Dropdowns!$A$36,$B$5=Dropdowns!$A$2)),Dropdowns!$D$12,
IF(OR(A23=Dropdowns!$A$6,A23=Dropdowns!$A$9,A23=Dropdowns!$A$10,A23=Dropdowns!$A$11,A23=Dropdowns!$A$18,A23=Dropdowns!$A$19,A23=Dropdowns!$A$20,A23=Dropdowns!$A$36,A23=Dropdowns!$A$48,A23=Dropdowns!$A$49,A23=Dropdowns!$A$50,A23=Dropdowns!$A$51,A23=Dropdowns!$A$52,A23=Dropdowns!$A$53,A23=Dropdowns!$A$54,A23=Dropdowns!$A$55,A23=Dropdowns!$A$56,A23=Dropdowns!$A$57,A23=Dropdowns!$A$58,A23=Dropdowns!$A$59,A23=Dropdowns!$A$60,A23=Dropdowns!$A$61,A23=Dropdowns!$A$62,A23=Dropdowns!$A$63),Dropdowns!$D$13,
IF(A23=Dropdowns!$A$12,Dropdowns!$D$2,
IF(OR(A23=Dropdowns!$A$13,A23=Dropdowns!$A$14),Dropdowns!$D$4,
IF(A23=Dropdowns!$A$15,Dropdowns!$D$3,
IF(OR(A23=Dropdowns!$A$16,A23=Dropdowns!$A$17),Dropdowns!$D$5,
IF(OR(A23=Dropdowns!$A$21,A23=Dropdowns!$A$22),Dropdowns!$D$6,
IF(AND($B$5=Dropdowns!$A$2,A23=Dropdowns!$A$24),Dropdowns!$D$7,
IF(A23=Dropdowns!$A$24,Dropdowns!$E$7,
IF(AND($B$5=Dropdowns!$A$2,OR(A23=Dropdowns!$A$25,A23=Dropdowns!$A$26,A23=Dropdowns!$A$30,A23=Dropdowns!$A$31,A23=Dropdowns!$A$34)),Dropdowns!$D$8,
IF(OR(A23=Dropdowns!$A$25,A23=Dropdowns!$A$26,A23=Dropdowns!$A$30,A23=Dropdowns!$A$31,A23=Dropdowns!$A$34),Dropdowns!$E$8,
IF(AND($B$5=Dropdowns!$A$2,A23=Dropdowns!$A$27),Dropdowns!$D$9,
IF(A23=Dropdowns!$A$27,Dropdowns!$E$9,
IF(AND($B$5=Dropdowns!$A$2,A23=Dropdowns!$A$29),Dropdowns!$D$10,
IF(A23=Dropdowns!$A$29,Dropdowns!$E$10,
IF(AND($B$5=Dropdowns!$A$2,OR(A23=Dropdowns!$A$28,A23=Dropdowns!$A$38,A23=Dropdowns!$A$39,A23=Dropdowns!$A$40,A23=Dropdowns!$A$41,A23=Dropdowns!$A$42,A23=Dropdowns!$A$43,A23=Dropdowns!$A$44,A23=Dropdowns!$A$45,A23=Dropdowns!$A$46,A23=Dropdowns!$A$47)),Dropdowns!$D$11,
IF(OR(A23=Dropdowns!$A$28,A23=Dropdowns!$A$38,A23=Dropdowns!$A$39,A23=Dropdowns!$A$40,A23=Dropdowns!$A$41,A23=Dropdowns!$A$42,A23=Dropdowns!$A$43,A23=Dropdowns!$A$44,A23=Dropdowns!$A$45,A23=Dropdowns!$A$46,A23=Dropdowns!$A$47),Dropdowns!$E$11,"")))))))))))))))))</f>
        <v/>
      </c>
      <c r="C23" s="195"/>
      <c r="D23" s="195"/>
      <c r="E23" s="196"/>
      <c r="F23" s="46"/>
      <c r="G23" s="47"/>
      <c r="H23" s="45"/>
      <c r="I23" s="150" t="str">
        <f>IF(B23=Dropdowns!$D$13,0,
IF(B23=Dropdowns!$D$12,"?",
IF(AND(B23=Dropdowns!$D$2,G23&lt;=2500,OR($B$5=Dropdowns!$A$3,$B$5=Dropdowns!$A$4)),0,
IF(B23=Dropdowns!$D$2,H23*('Source Amount (6.3.3)'!$K$33/1000*G23+(EXP(-15.49+1.59*LN(G23)))/'Source Amount (6.3.3)'!$K$15),
IF(B23=Dropdowns!$D$4,H23*('Source Amount (6.3.3)'!$K$33/1000*G23+(EXP(-14.17+1.59*LN(G23)))/'Source Amount (6.3.3)'!$K$15),
IF(B23=Dropdowns!$D$3,H23*('Source Amount (6.3.3)'!$K$33/1000*G23+(EXP(-16.14+1.59*LN(G23)))/'Source Amount (6.3.3)'!$K$15),
IF(B23=Dropdowns!$D$5,H23*('Source Amount (6.3.3)'!$K$33/1000*G23+(EXP(-14.82+1.59*LN(G23)))/'Source Amount (6.3.3)'!$K$15),
IF(B23=Dropdowns!$D$6,H23*('Source Amount (6.3.3)'!$J$33*F23),
IF(B23=Dropdowns!$D$7,H23*('Source Amount (6.3.3)'!$D$33/1000*G23),
IF(B23=Dropdowns!$E$7,H23*('Source Amount (6.3.3)'!$D$37/1000*G23),
IF(B23=Dropdowns!$D$8,H23*('Source Amount (6.3.3)'!$E$33/1000*G23),
IF(B23=Dropdowns!$E$8,H23*('Source Amount (6.3.3)'!$E$37/1000*G23),
IF(B23=Dropdowns!$D$9,H23*('Source Amount (6.3.3)'!$F$33/1000*G23),
IF(B23=Dropdowns!$E$9,H23*('Source Amount (6.3.3)'!$F$37/1000*G23),
IF(B23=Dropdowns!$D$10,H23*('Source Amount (6.3.3)'!$G$33/1000*G23),
IF(B23=Dropdowns!$E$10,H23*('Source Amount (6.3.3)'!$G$37/1000*G23),
IF(B23=Dropdowns!$D$11,H23*('Source Amount (6.3.3)'!$H$33/1000*G23),
IF(B23=Dropdowns!$E$11,H23*('Source Amount (6.3.3)'!$H$37/1000*G23),""))))))))))))))))))</f>
        <v/>
      </c>
    </row>
    <row r="24" spans="1:9">
      <c r="A24" s="55"/>
      <c r="B24" s="194" t="str">
        <f>IF(OR(A24=Dropdowns!$A$7,A24=Dropdowns!$A$8,A24=Dropdowns!$A$23,A24=Dropdowns!$A$32,A24=Dropdowns!$A$33,A24=Dropdowns!$A$35,AND(A24=Dropdowns!$A$36,$B$5=Dropdowns!$A$2)),Dropdowns!$D$12,
IF(OR(A24=Dropdowns!$A$6,A24=Dropdowns!$A$9,A24=Dropdowns!$A$10,A24=Dropdowns!$A$11,A24=Dropdowns!$A$18,A24=Dropdowns!$A$19,A24=Dropdowns!$A$20,A24=Dropdowns!$A$36,A24=Dropdowns!$A$48,A24=Dropdowns!$A$49,A24=Dropdowns!$A$50,A24=Dropdowns!$A$51,A24=Dropdowns!$A$52,A24=Dropdowns!$A$53,A24=Dropdowns!$A$54,A24=Dropdowns!$A$55,A24=Dropdowns!$A$56,A24=Dropdowns!$A$57,A24=Dropdowns!$A$58,A24=Dropdowns!$A$59,A24=Dropdowns!$A$60,A24=Dropdowns!$A$61,A24=Dropdowns!$A$62,A24=Dropdowns!$A$63),Dropdowns!$D$13,
IF(A24=Dropdowns!$A$12,Dropdowns!$D$2,
IF(OR(A24=Dropdowns!$A$13,A24=Dropdowns!$A$14),Dropdowns!$D$4,
IF(A24=Dropdowns!$A$15,Dropdowns!$D$3,
IF(OR(A24=Dropdowns!$A$16,A24=Dropdowns!$A$17),Dropdowns!$D$5,
IF(OR(A24=Dropdowns!$A$21,A24=Dropdowns!$A$22),Dropdowns!$D$6,
IF(AND($B$5=Dropdowns!$A$2,A24=Dropdowns!$A$24),Dropdowns!$D$7,
IF(A24=Dropdowns!$A$24,Dropdowns!$E$7,
IF(AND($B$5=Dropdowns!$A$2,OR(A24=Dropdowns!$A$25,A24=Dropdowns!$A$26,A24=Dropdowns!$A$30,A24=Dropdowns!$A$31,A24=Dropdowns!$A$34)),Dropdowns!$D$8,
IF(OR(A24=Dropdowns!$A$25,A24=Dropdowns!$A$26,A24=Dropdowns!$A$30,A24=Dropdowns!$A$31,A24=Dropdowns!$A$34),Dropdowns!$E$8,
IF(AND($B$5=Dropdowns!$A$2,A24=Dropdowns!$A$27),Dropdowns!$D$9,
IF(A24=Dropdowns!$A$27,Dropdowns!$E$9,
IF(AND($B$5=Dropdowns!$A$2,A24=Dropdowns!$A$29),Dropdowns!$D$10,
IF(A24=Dropdowns!$A$29,Dropdowns!$E$10,
IF(AND($B$5=Dropdowns!$A$2,OR(A24=Dropdowns!$A$28,A24=Dropdowns!$A$38,A24=Dropdowns!$A$39,A24=Dropdowns!$A$40,A24=Dropdowns!$A$41,A24=Dropdowns!$A$42,A24=Dropdowns!$A$43,A24=Dropdowns!$A$44,A24=Dropdowns!$A$45,A24=Dropdowns!$A$46,A24=Dropdowns!$A$47)),Dropdowns!$D$11,
IF(OR(A24=Dropdowns!$A$28,A24=Dropdowns!$A$38,A24=Dropdowns!$A$39,A24=Dropdowns!$A$40,A24=Dropdowns!$A$41,A24=Dropdowns!$A$42,A24=Dropdowns!$A$43,A24=Dropdowns!$A$44,A24=Dropdowns!$A$45,A24=Dropdowns!$A$46,A24=Dropdowns!$A$47),Dropdowns!$E$11,"")))))))))))))))))</f>
        <v/>
      </c>
      <c r="C24" s="195"/>
      <c r="D24" s="195"/>
      <c r="E24" s="196"/>
      <c r="F24" s="49"/>
      <c r="G24" s="50"/>
      <c r="H24" s="48"/>
      <c r="I24" s="150" t="str">
        <f>IF(B24=Dropdowns!$D$13,0,
IF(B24=Dropdowns!$D$12,"?",
IF(AND(B24=Dropdowns!$D$2,G24&lt;=2500,OR($B$5=Dropdowns!$A$3,$B$5=Dropdowns!$A$4)),0,
IF(B24=Dropdowns!$D$2,H24*('Source Amount (6.3.3)'!$K$33/1000*G24+(EXP(-15.49+1.59*LN(G24)))/'Source Amount (6.3.3)'!$K$15),
IF(B24=Dropdowns!$D$4,H24*('Source Amount (6.3.3)'!$K$33/1000*G24+(EXP(-14.17+1.59*LN(G24)))/'Source Amount (6.3.3)'!$K$15),
IF(B24=Dropdowns!$D$3,H24*('Source Amount (6.3.3)'!$K$33/1000*G24+(EXP(-16.14+1.59*LN(G24)))/'Source Amount (6.3.3)'!$K$15),
IF(B24=Dropdowns!$D$5,H24*('Source Amount (6.3.3)'!$K$33/1000*G24+(EXP(-14.82+1.59*LN(G24)))/'Source Amount (6.3.3)'!$K$15),
IF(B24=Dropdowns!$D$6,H24*('Source Amount (6.3.3)'!$J$33*F24),
IF(B24=Dropdowns!$D$7,H24*('Source Amount (6.3.3)'!$D$33/1000*G24),
IF(B24=Dropdowns!$E$7,H24*('Source Amount (6.3.3)'!$D$37/1000*G24),
IF(B24=Dropdowns!$D$8,H24*('Source Amount (6.3.3)'!$E$33/1000*G24),
IF(B24=Dropdowns!$E$8,H24*('Source Amount (6.3.3)'!$E$37/1000*G24),
IF(B24=Dropdowns!$D$9,H24*('Source Amount (6.3.3)'!$F$33/1000*G24),
IF(B24=Dropdowns!$E$9,H24*('Source Amount (6.3.3)'!$F$37/1000*G24),
IF(B24=Dropdowns!$D$10,H24*('Source Amount (6.3.3)'!$G$33/1000*G24),
IF(B24=Dropdowns!$E$10,H24*('Source Amount (6.3.3)'!$G$37/1000*G24),
IF(B24=Dropdowns!$D$11,H24*('Source Amount (6.3.3)'!$H$33/1000*G24),
IF(B24=Dropdowns!$E$11,H24*('Source Amount (6.3.3)'!$H$37/1000*G24),""))))))))))))))))))</f>
        <v/>
      </c>
    </row>
    <row r="25" spans="1:9">
      <c r="A25" s="55"/>
      <c r="B25" s="194" t="str">
        <f>IF(OR(A25=Dropdowns!$A$7,A25=Dropdowns!$A$8,A25=Dropdowns!$A$23,A25=Dropdowns!$A$32,A25=Dropdowns!$A$33,A25=Dropdowns!$A$35,AND(A25=Dropdowns!$A$36,$B$5=Dropdowns!$A$2)),Dropdowns!$D$12,
IF(OR(A25=Dropdowns!$A$6,A25=Dropdowns!$A$9,A25=Dropdowns!$A$10,A25=Dropdowns!$A$11,A25=Dropdowns!$A$18,A25=Dropdowns!$A$19,A25=Dropdowns!$A$20,A25=Dropdowns!$A$36,A25=Dropdowns!$A$48,A25=Dropdowns!$A$49,A25=Dropdowns!$A$50,A25=Dropdowns!$A$51,A25=Dropdowns!$A$52,A25=Dropdowns!$A$53,A25=Dropdowns!$A$54,A25=Dropdowns!$A$55,A25=Dropdowns!$A$56,A25=Dropdowns!$A$57,A25=Dropdowns!$A$58,A25=Dropdowns!$A$59,A25=Dropdowns!$A$60,A25=Dropdowns!$A$61,A25=Dropdowns!$A$62,A25=Dropdowns!$A$63),Dropdowns!$D$13,
IF(A25=Dropdowns!$A$12,Dropdowns!$D$2,
IF(OR(A25=Dropdowns!$A$13,A25=Dropdowns!$A$14),Dropdowns!$D$4,
IF(A25=Dropdowns!$A$15,Dropdowns!$D$3,
IF(OR(A25=Dropdowns!$A$16,A25=Dropdowns!$A$17),Dropdowns!$D$5,
IF(OR(A25=Dropdowns!$A$21,A25=Dropdowns!$A$22),Dropdowns!$D$6,
IF(AND($B$5=Dropdowns!$A$2,A25=Dropdowns!$A$24),Dropdowns!$D$7,
IF(A25=Dropdowns!$A$24,Dropdowns!$E$7,
IF(AND($B$5=Dropdowns!$A$2,OR(A25=Dropdowns!$A$25,A25=Dropdowns!$A$26,A25=Dropdowns!$A$30,A25=Dropdowns!$A$31,A25=Dropdowns!$A$34)),Dropdowns!$D$8,
IF(OR(A25=Dropdowns!$A$25,A25=Dropdowns!$A$26,A25=Dropdowns!$A$30,A25=Dropdowns!$A$31,A25=Dropdowns!$A$34),Dropdowns!$E$8,
IF(AND($B$5=Dropdowns!$A$2,A25=Dropdowns!$A$27),Dropdowns!$D$9,
IF(A25=Dropdowns!$A$27,Dropdowns!$E$9,
IF(AND($B$5=Dropdowns!$A$2,A25=Dropdowns!$A$29),Dropdowns!$D$10,
IF(A25=Dropdowns!$A$29,Dropdowns!$E$10,
IF(AND($B$5=Dropdowns!$A$2,OR(A25=Dropdowns!$A$28,A25=Dropdowns!$A$38,A25=Dropdowns!$A$39,A25=Dropdowns!$A$40,A25=Dropdowns!$A$41,A25=Dropdowns!$A$42,A25=Dropdowns!$A$43,A25=Dropdowns!$A$44,A25=Dropdowns!$A$45,A25=Dropdowns!$A$46,A25=Dropdowns!$A$47)),Dropdowns!$D$11,
IF(OR(A25=Dropdowns!$A$28,A25=Dropdowns!$A$38,A25=Dropdowns!$A$39,A25=Dropdowns!$A$40,A25=Dropdowns!$A$41,A25=Dropdowns!$A$42,A25=Dropdowns!$A$43,A25=Dropdowns!$A$44,A25=Dropdowns!$A$45,A25=Dropdowns!$A$46,A25=Dropdowns!$A$47),Dropdowns!$E$11,"")))))))))))))))))</f>
        <v/>
      </c>
      <c r="C25" s="195"/>
      <c r="D25" s="195"/>
      <c r="E25" s="196"/>
      <c r="F25" s="49"/>
      <c r="G25" s="50"/>
      <c r="H25" s="48"/>
      <c r="I25" s="150" t="str">
        <f>IF(B25=Dropdowns!$D$13,0,
IF(B25=Dropdowns!$D$12,"?",
IF(AND(B25=Dropdowns!$D$2,G25&lt;=2500,OR($B$5=Dropdowns!$A$3,$B$5=Dropdowns!$A$4)),0,
IF(B25=Dropdowns!$D$2,H25*('Source Amount (6.3.3)'!$K$33/1000*G25+(EXP(-15.49+1.59*LN(G25)))/'Source Amount (6.3.3)'!$K$15),
IF(B25=Dropdowns!$D$4,H25*('Source Amount (6.3.3)'!$K$33/1000*G25+(EXP(-14.17+1.59*LN(G25)))/'Source Amount (6.3.3)'!$K$15),
IF(B25=Dropdowns!$D$3,H25*('Source Amount (6.3.3)'!$K$33/1000*G25+(EXP(-16.14+1.59*LN(G25)))/'Source Amount (6.3.3)'!$K$15),
IF(B25=Dropdowns!$D$5,H25*('Source Amount (6.3.3)'!$K$33/1000*G25+(EXP(-14.82+1.59*LN(G25)))/'Source Amount (6.3.3)'!$K$15),
IF(B25=Dropdowns!$D$6,H25*('Source Amount (6.3.3)'!$J$33*F25),
IF(B25=Dropdowns!$D$7,H25*('Source Amount (6.3.3)'!$D$33/1000*G25),
IF(B25=Dropdowns!$E$7,H25*('Source Amount (6.3.3)'!$D$37/1000*G25),
IF(B25=Dropdowns!$D$8,H25*('Source Amount (6.3.3)'!$E$33/1000*G25),
IF(B25=Dropdowns!$E$8,H25*('Source Amount (6.3.3)'!$E$37/1000*G25),
IF(B25=Dropdowns!$D$9,H25*('Source Amount (6.3.3)'!$F$33/1000*G25),
IF(B25=Dropdowns!$E$9,H25*('Source Amount (6.3.3)'!$F$37/1000*G25),
IF(B25=Dropdowns!$D$10,H25*('Source Amount (6.3.3)'!$G$33/1000*G25),
IF(B25=Dropdowns!$E$10,H25*('Source Amount (6.3.3)'!$G$37/1000*G25),
IF(B25=Dropdowns!$D$11,H25*('Source Amount (6.3.3)'!$H$33/1000*G25),
IF(B25=Dropdowns!$E$11,H25*('Source Amount (6.3.3)'!$H$37/1000*G25),""))))))))))))))))))</f>
        <v/>
      </c>
    </row>
    <row r="26" spans="1:9">
      <c r="A26" s="55"/>
      <c r="B26" s="194" t="str">
        <f>IF(OR(A26=Dropdowns!$A$7,A26=Dropdowns!$A$8,A26=Dropdowns!$A$23,A26=Dropdowns!$A$32,A26=Dropdowns!$A$33,A26=Dropdowns!$A$35,AND(A26=Dropdowns!$A$36,$B$5=Dropdowns!$A$2)),Dropdowns!$D$12,
IF(OR(A26=Dropdowns!$A$6,A26=Dropdowns!$A$9,A26=Dropdowns!$A$10,A26=Dropdowns!$A$11,A26=Dropdowns!$A$18,A26=Dropdowns!$A$19,A26=Dropdowns!$A$20,A26=Dropdowns!$A$36,A26=Dropdowns!$A$48,A26=Dropdowns!$A$49,A26=Dropdowns!$A$50,A26=Dropdowns!$A$51,A26=Dropdowns!$A$52,A26=Dropdowns!$A$53,A26=Dropdowns!$A$54,A26=Dropdowns!$A$55,A26=Dropdowns!$A$56,A26=Dropdowns!$A$57,A26=Dropdowns!$A$58,A26=Dropdowns!$A$59,A26=Dropdowns!$A$60,A26=Dropdowns!$A$61,A26=Dropdowns!$A$62,A26=Dropdowns!$A$63),Dropdowns!$D$13,
IF(A26=Dropdowns!$A$12,Dropdowns!$D$2,
IF(OR(A26=Dropdowns!$A$13,A26=Dropdowns!$A$14),Dropdowns!$D$4,
IF(A26=Dropdowns!$A$15,Dropdowns!$D$3,
IF(OR(A26=Dropdowns!$A$16,A26=Dropdowns!$A$17),Dropdowns!$D$5,
IF(OR(A26=Dropdowns!$A$21,A26=Dropdowns!$A$22),Dropdowns!$D$6,
IF(AND($B$5=Dropdowns!$A$2,A26=Dropdowns!$A$24),Dropdowns!$D$7,
IF(A26=Dropdowns!$A$24,Dropdowns!$E$7,
IF(AND($B$5=Dropdowns!$A$2,OR(A26=Dropdowns!$A$25,A26=Dropdowns!$A$26,A26=Dropdowns!$A$30,A26=Dropdowns!$A$31,A26=Dropdowns!$A$34)),Dropdowns!$D$8,
IF(OR(A26=Dropdowns!$A$25,A26=Dropdowns!$A$26,A26=Dropdowns!$A$30,A26=Dropdowns!$A$31,A26=Dropdowns!$A$34),Dropdowns!$E$8,
IF(AND($B$5=Dropdowns!$A$2,A26=Dropdowns!$A$27),Dropdowns!$D$9,
IF(A26=Dropdowns!$A$27,Dropdowns!$E$9,
IF(AND($B$5=Dropdowns!$A$2,A26=Dropdowns!$A$29),Dropdowns!$D$10,
IF(A26=Dropdowns!$A$29,Dropdowns!$E$10,
IF(AND($B$5=Dropdowns!$A$2,OR(A26=Dropdowns!$A$28,A26=Dropdowns!$A$38,A26=Dropdowns!$A$39,A26=Dropdowns!$A$40,A26=Dropdowns!$A$41,A26=Dropdowns!$A$42,A26=Dropdowns!$A$43,A26=Dropdowns!$A$44,A26=Dropdowns!$A$45,A26=Dropdowns!$A$46,A26=Dropdowns!$A$47)),Dropdowns!$D$11,
IF(OR(A26=Dropdowns!$A$28,A26=Dropdowns!$A$38,A26=Dropdowns!$A$39,A26=Dropdowns!$A$40,A26=Dropdowns!$A$41,A26=Dropdowns!$A$42,A26=Dropdowns!$A$43,A26=Dropdowns!$A$44,A26=Dropdowns!$A$45,A26=Dropdowns!$A$46,A26=Dropdowns!$A$47),Dropdowns!$E$11,"")))))))))))))))))</f>
        <v/>
      </c>
      <c r="C26" s="195"/>
      <c r="D26" s="195"/>
      <c r="E26" s="196"/>
      <c r="F26" s="49"/>
      <c r="G26" s="50"/>
      <c r="H26" s="48"/>
      <c r="I26" s="150" t="str">
        <f>IF(B26=Dropdowns!$D$13,0,
IF(B26=Dropdowns!$D$12,"?",
IF(AND(B26=Dropdowns!$D$2,G26&lt;=2500,OR($B$5=Dropdowns!$A$3,$B$5=Dropdowns!$A$4)),0,
IF(B26=Dropdowns!$D$2,H26*('Source Amount (6.3.3)'!$K$33/1000*G26+(EXP(-15.49+1.59*LN(G26)))/'Source Amount (6.3.3)'!$K$15),
IF(B26=Dropdowns!$D$4,H26*('Source Amount (6.3.3)'!$K$33/1000*G26+(EXP(-14.17+1.59*LN(G26)))/'Source Amount (6.3.3)'!$K$15),
IF(B26=Dropdowns!$D$3,H26*('Source Amount (6.3.3)'!$K$33/1000*G26+(EXP(-16.14+1.59*LN(G26)))/'Source Amount (6.3.3)'!$K$15),
IF(B26=Dropdowns!$D$5,H26*('Source Amount (6.3.3)'!$K$33/1000*G26+(EXP(-14.82+1.59*LN(G26)))/'Source Amount (6.3.3)'!$K$15),
IF(B26=Dropdowns!$D$6,H26*('Source Amount (6.3.3)'!$J$33*F26),
IF(B26=Dropdowns!$D$7,H26*('Source Amount (6.3.3)'!$D$33/1000*G26),
IF(B26=Dropdowns!$E$7,H26*('Source Amount (6.3.3)'!$D$37/1000*G26),
IF(B26=Dropdowns!$D$8,H26*('Source Amount (6.3.3)'!$E$33/1000*G26),
IF(B26=Dropdowns!$E$8,H26*('Source Amount (6.3.3)'!$E$37/1000*G26),
IF(B26=Dropdowns!$D$9,H26*('Source Amount (6.3.3)'!$F$33/1000*G26),
IF(B26=Dropdowns!$E$9,H26*('Source Amount (6.3.3)'!$F$37/1000*G26),
IF(B26=Dropdowns!$D$10,H26*('Source Amount (6.3.3)'!$G$33/1000*G26),
IF(B26=Dropdowns!$E$10,H26*('Source Amount (6.3.3)'!$G$37/1000*G26),
IF(B26=Dropdowns!$D$11,H26*('Source Amount (6.3.3)'!$H$33/1000*G26),
IF(B26=Dropdowns!$E$11,H26*('Source Amount (6.3.3)'!$H$37/1000*G26),""))))))))))))))))))</f>
        <v/>
      </c>
    </row>
    <row r="27" spans="1:9">
      <c r="A27" s="56"/>
      <c r="B27" s="194" t="str">
        <f>IF(OR(A27=Dropdowns!$A$7,A27=Dropdowns!$A$8,A27=Dropdowns!$A$23,A27=Dropdowns!$A$32,A27=Dropdowns!$A$33,A27=Dropdowns!$A$35,AND(A27=Dropdowns!$A$36,$B$5=Dropdowns!$A$2)),Dropdowns!$D$12,
IF(OR(A27=Dropdowns!$A$6,A27=Dropdowns!$A$9,A27=Dropdowns!$A$10,A27=Dropdowns!$A$11,A27=Dropdowns!$A$18,A27=Dropdowns!$A$19,A27=Dropdowns!$A$20,A27=Dropdowns!$A$36,A27=Dropdowns!$A$48,A27=Dropdowns!$A$49,A27=Dropdowns!$A$50,A27=Dropdowns!$A$51,A27=Dropdowns!$A$52,A27=Dropdowns!$A$53,A27=Dropdowns!$A$54,A27=Dropdowns!$A$55,A27=Dropdowns!$A$56,A27=Dropdowns!$A$57,A27=Dropdowns!$A$58,A27=Dropdowns!$A$59,A27=Dropdowns!$A$60,A27=Dropdowns!$A$61,A27=Dropdowns!$A$62,A27=Dropdowns!$A$63),Dropdowns!$D$13,
IF(A27=Dropdowns!$A$12,Dropdowns!$D$2,
IF(OR(A27=Dropdowns!$A$13,A27=Dropdowns!$A$14),Dropdowns!$D$4,
IF(A27=Dropdowns!$A$15,Dropdowns!$D$3,
IF(OR(A27=Dropdowns!$A$16,A27=Dropdowns!$A$17),Dropdowns!$D$5,
IF(OR(A27=Dropdowns!$A$21,A27=Dropdowns!$A$22),Dropdowns!$D$6,
IF(AND($B$5=Dropdowns!$A$2,A27=Dropdowns!$A$24),Dropdowns!$D$7,
IF(A27=Dropdowns!$A$24,Dropdowns!$E$7,
IF(AND($B$5=Dropdowns!$A$2,OR(A27=Dropdowns!$A$25,A27=Dropdowns!$A$26,A27=Dropdowns!$A$30,A27=Dropdowns!$A$31,A27=Dropdowns!$A$34)),Dropdowns!$D$8,
IF(OR(A27=Dropdowns!$A$25,A27=Dropdowns!$A$26,A27=Dropdowns!$A$30,A27=Dropdowns!$A$31,A27=Dropdowns!$A$34),Dropdowns!$E$8,
IF(AND($B$5=Dropdowns!$A$2,A27=Dropdowns!$A$27),Dropdowns!$D$9,
IF(A27=Dropdowns!$A$27,Dropdowns!$E$9,
IF(AND($B$5=Dropdowns!$A$2,A27=Dropdowns!$A$29),Dropdowns!$D$10,
IF(A27=Dropdowns!$A$29,Dropdowns!$E$10,
IF(AND($B$5=Dropdowns!$A$2,OR(A27=Dropdowns!$A$28,A27=Dropdowns!$A$38,A27=Dropdowns!$A$39,A27=Dropdowns!$A$40,A27=Dropdowns!$A$41,A27=Dropdowns!$A$42,A27=Dropdowns!$A$43,A27=Dropdowns!$A$44,A27=Dropdowns!$A$45,A27=Dropdowns!$A$46,A27=Dropdowns!$A$47)),Dropdowns!$D$11,
IF(OR(A27=Dropdowns!$A$28,A27=Dropdowns!$A$38,A27=Dropdowns!$A$39,A27=Dropdowns!$A$40,A27=Dropdowns!$A$41,A27=Dropdowns!$A$42,A27=Dropdowns!$A$43,A27=Dropdowns!$A$44,A27=Dropdowns!$A$45,A27=Dropdowns!$A$46,A27=Dropdowns!$A$47),Dropdowns!$E$11,"")))))))))))))))))</f>
        <v/>
      </c>
      <c r="C27" s="195"/>
      <c r="D27" s="195"/>
      <c r="E27" s="196"/>
      <c r="F27" s="52"/>
      <c r="G27" s="53"/>
      <c r="H27" s="51"/>
      <c r="I27" s="150" t="str">
        <f>IF(B27=Dropdowns!$D$13,0,
IF(B27=Dropdowns!$D$12,"?",
IF(AND(B27=Dropdowns!$D$2,G27&lt;=2500,OR($B$5=Dropdowns!$A$3,$B$5=Dropdowns!$A$4)),0,
IF(B27=Dropdowns!$D$2,H27*('Source Amount (6.3.3)'!$K$33/1000*G27+(EXP(-15.49+1.59*LN(G27)))/'Source Amount (6.3.3)'!$K$15),
IF(B27=Dropdowns!$D$4,H27*('Source Amount (6.3.3)'!$K$33/1000*G27+(EXP(-14.17+1.59*LN(G27)))/'Source Amount (6.3.3)'!$K$15),
IF(B27=Dropdowns!$D$3,H27*('Source Amount (6.3.3)'!$K$33/1000*G27+(EXP(-16.14+1.59*LN(G27)))/'Source Amount (6.3.3)'!$K$15),
IF(B27=Dropdowns!$D$5,H27*('Source Amount (6.3.3)'!$K$33/1000*G27+(EXP(-14.82+1.59*LN(G27)))/'Source Amount (6.3.3)'!$K$15),
IF(B27=Dropdowns!$D$6,H27*('Source Amount (6.3.3)'!$J$33*F27),
IF(B27=Dropdowns!$D$7,H27*('Source Amount (6.3.3)'!$D$33/1000*G27),
IF(B27=Dropdowns!$E$7,H27*('Source Amount (6.3.3)'!$D$37/1000*G27),
IF(B27=Dropdowns!$D$8,H27*('Source Amount (6.3.3)'!$E$33/1000*G27),
IF(B27=Dropdowns!$E$8,H27*('Source Amount (6.3.3)'!$E$37/1000*G27),
IF(B27=Dropdowns!$D$9,H27*('Source Amount (6.3.3)'!$F$33/1000*G27),
IF(B27=Dropdowns!$E$9,H27*('Source Amount (6.3.3)'!$F$37/1000*G27),
IF(B27=Dropdowns!$D$10,H27*('Source Amount (6.3.3)'!$G$33/1000*G27),
IF(B27=Dropdowns!$E$10,H27*('Source Amount (6.3.3)'!$G$37/1000*G27),
IF(B27=Dropdowns!$D$11,H27*('Source Amount (6.3.3)'!$H$33/1000*G27),
IF(B27=Dropdowns!$E$11,H27*('Source Amount (6.3.3)'!$H$37/1000*G27),""))))))))))))))))))</f>
        <v/>
      </c>
    </row>
    <row r="28" spans="1:9" s="138" customFormat="1" ht="12"/>
    <row r="29" spans="1:9">
      <c r="C29" s="146" t="s">
        <v>209</v>
      </c>
      <c r="D29" s="151">
        <f>IF(SUM(I23:I27)-I18&lt;0,0,IF(B5="Alta",0.25*(SUM(I23:I27)-I18),SUM(I23:I27)-I18))</f>
        <v>0</v>
      </c>
      <c r="E29" s="152" t="s">
        <v>210</v>
      </c>
      <c r="G29" s="146" t="s">
        <v>211</v>
      </c>
      <c r="H29" s="206">
        <f>IF(D29&lt;1,Method!D22,"n/a")</f>
        <v>0</v>
      </c>
      <c r="I29" s="207"/>
    </row>
    <row r="30" spans="1:9" s="138" customFormat="1" ht="12"/>
    <row r="31" spans="1:9" ht="38.25" customHeight="1">
      <c r="A31" s="193" t="s">
        <v>306</v>
      </c>
      <c r="B31" s="193"/>
      <c r="C31" s="193"/>
      <c r="D31" s="193"/>
      <c r="E31" s="193"/>
      <c r="F31" s="193"/>
      <c r="G31" s="193"/>
      <c r="H31" s="193"/>
      <c r="I31" s="193"/>
    </row>
  </sheetData>
  <sheetProtection sheet="1" objects="1" scenarios="1" selectLockedCells="1"/>
  <mergeCells count="21">
    <mergeCell ref="B22:E22"/>
    <mergeCell ref="B24:E24"/>
    <mergeCell ref="B25:E25"/>
    <mergeCell ref="B26:E26"/>
    <mergeCell ref="B27:E27"/>
    <mergeCell ref="A31:I31"/>
    <mergeCell ref="B13:E13"/>
    <mergeCell ref="H1:I1"/>
    <mergeCell ref="A11:I11"/>
    <mergeCell ref="B12:E12"/>
    <mergeCell ref="A2:I2"/>
    <mergeCell ref="B5:D5"/>
    <mergeCell ref="H4:I4"/>
    <mergeCell ref="A8:I8"/>
    <mergeCell ref="H29:I29"/>
    <mergeCell ref="B23:E23"/>
    <mergeCell ref="B14:E14"/>
    <mergeCell ref="B15:E15"/>
    <mergeCell ref="B16:E16"/>
    <mergeCell ref="B17:E17"/>
    <mergeCell ref="A21:I21"/>
  </mergeCells>
  <conditionalFormatting sqref="I13:I17">
    <cfRule type="cellIs" dxfId="20" priority="3" operator="equal">
      <formula>"?"</formula>
    </cfRule>
  </conditionalFormatting>
  <conditionalFormatting sqref="I23:I27">
    <cfRule type="cellIs" dxfId="19" priority="2" operator="equal">
      <formula>"?"</formula>
    </cfRule>
  </conditionalFormatting>
  <dataValidations count="1">
    <dataValidation type="list" allowBlank="1" showInputMessage="1" showErrorMessage="1" sqref="H5:I5" xr:uid="{00000000-0002-0000-0000-000000000000}">
      <formula1>$E$5:$G$5</formula1>
    </dataValidation>
  </dataValidations>
  <hyperlinks>
    <hyperlink ref="A31:I31" location="'Unit Type'!A1" display="If the amount of required affordable workforce housing  is less than one unit, you may pay the above fee in-lieu of providing the required housing. If you elect to pay the fee, your Housing Mitgation Plan is complete. If the requirement is greater than one unit, or you would like to provide a unit to meet the requirement, please proceed to the Unit Type Sheet." xr:uid="{1F99A851-2A3D-4576-A1E5-89634E2EAA75}"/>
  </hyperlinks>
  <pageMargins left="0.25" right="0.25" top="0.75" bottom="0.75" header="0.3" footer="0.3"/>
  <pageSetup orientation="landscape" r:id="rId1"/>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expression" priority="1" id="{75E285CF-EF22-4774-9060-0BEA8A5E6DEB}">
            <xm:f>AND(A23=Dropdowns!A$61,SUMIFS(G$23:G$27,A$23:A$27,Dropdowns!A$61)&gt;SUMIFS(G$23:G$27,A$23:A$27,Dropdowns!A$60))</xm:f>
            <x14:dxf>
              <font>
                <color rgb="FF9C0006"/>
              </font>
              <fill>
                <patternFill>
                  <bgColor rgb="FFFFC7CE"/>
                </patternFill>
              </fill>
            </x14:dxf>
          </x14:cfRule>
          <xm:sqref>G23:G27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Dropdowns!$A$6:$A$63</xm:f>
          </x14:formula1>
          <xm:sqref>A13:A17 A23:A27</xm:sqref>
        </x14:dataValidation>
        <x14:dataValidation type="list" allowBlank="1" showInputMessage="1" showErrorMessage="1" xr:uid="{00000000-0002-0000-0000-000002000000}">
          <x14:formula1>
            <xm:f>Dropdowns!$A$2:$A$4</xm:f>
          </x14:formula1>
          <xm:sqref>B5:D5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C7FC6-164A-45B2-B602-F7C65526AB97}">
  <dimension ref="A1:I60"/>
  <sheetViews>
    <sheetView showGridLines="0" view="pageLayout" topLeftCell="A11" zoomScaleNormal="100" workbookViewId="0">
      <selection activeCell="A60" sqref="A60:I60"/>
    </sheetView>
  </sheetViews>
  <sheetFormatPr defaultColWidth="9.109375" defaultRowHeight="14.4"/>
  <cols>
    <col min="1" max="1" width="26.33203125" style="137" customWidth="1"/>
    <col min="2" max="2" width="10.109375" style="137" customWidth="1"/>
    <col min="3" max="4" width="9" style="137" customWidth="1"/>
    <col min="5" max="5" width="9.33203125" style="137" customWidth="1"/>
    <col min="6" max="6" width="10.109375" style="137" customWidth="1"/>
    <col min="7" max="8" width="9" style="137" customWidth="1"/>
    <col min="9" max="9" width="9.88671875" style="137" customWidth="1"/>
    <col min="10" max="16384" width="9.109375" style="137"/>
  </cols>
  <sheetData>
    <row r="1" spans="1:9" ht="18">
      <c r="A1" s="135" t="str">
        <f>Amount!A1</f>
        <v>Housing Mitigation Plan</v>
      </c>
      <c r="B1" s="136"/>
      <c r="C1" s="136"/>
      <c r="D1" s="136"/>
      <c r="E1" s="136"/>
      <c r="F1" s="136"/>
      <c r="G1" s="136"/>
      <c r="H1" s="197" t="str">
        <f>Amount!H1</f>
        <v>updated 6/11/19</v>
      </c>
      <c r="I1" s="197"/>
    </row>
    <row r="2" spans="1:9">
      <c r="A2" s="138" t="s">
        <v>310</v>
      </c>
    </row>
    <row r="3" spans="1:9" s="138" customFormat="1" ht="12"/>
    <row r="4" spans="1:9" ht="18">
      <c r="A4" s="135" t="s">
        <v>302</v>
      </c>
      <c r="B4" s="136"/>
      <c r="C4" s="136"/>
      <c r="D4" s="136"/>
      <c r="E4" s="136"/>
      <c r="F4" s="136"/>
      <c r="G4" s="136"/>
      <c r="H4" s="136"/>
      <c r="I4" s="136"/>
    </row>
    <row r="5" spans="1:9" ht="15" customHeight="1">
      <c r="A5" s="137" t="s">
        <v>232</v>
      </c>
    </row>
    <row r="6" spans="1:9" ht="48.75" customHeight="1">
      <c r="A6" s="198" t="s">
        <v>292</v>
      </c>
      <c r="B6" s="198"/>
      <c r="C6" s="198"/>
      <c r="D6" s="198"/>
      <c r="E6" s="198"/>
      <c r="F6" s="198"/>
      <c r="G6" s="198"/>
      <c r="H6" s="198"/>
      <c r="I6" s="198"/>
    </row>
    <row r="7" spans="1:9" ht="27.6">
      <c r="A7" s="208" t="s">
        <v>49</v>
      </c>
      <c r="B7" s="208"/>
      <c r="C7" s="208"/>
      <c r="D7" s="208"/>
      <c r="E7" s="143" t="s">
        <v>80</v>
      </c>
      <c r="F7" s="153" t="s">
        <v>57</v>
      </c>
      <c r="G7" s="153" t="s">
        <v>78</v>
      </c>
      <c r="H7" s="142" t="s">
        <v>79</v>
      </c>
      <c r="I7" s="142"/>
    </row>
    <row r="8" spans="1:9">
      <c r="A8" s="220" t="s">
        <v>226</v>
      </c>
      <c r="B8" s="220"/>
      <c r="C8" s="220"/>
      <c r="D8" s="220"/>
      <c r="E8" s="144">
        <f>IF(ROUND(TRUNC(Amount!$D$29)/7-TRUNC(TRUNC(Amount!$D$29)/7),3)=0.143,TRUNC(TRUNC(Amount!$D$29)/7)*2+0+Amount!$D$29-TRUNC(Amount!$D$29),
IF(ROUND(TRUNC(Amount!$D$29)/7-TRUNC(TRUNC(Amount!$D$29)/7),3)=0.286,TRUNC(TRUNC(Amount!$D$29)/7)*2+1,
IF(ROUND(TRUNC(Amount!$D$29)/7-TRUNC(TRUNC(Amount!$D$29)/7),3)=0.429,TRUNC(TRUNC(Amount!$D$29)/7)*2+1,
IF(ROUND(TRUNC(Amount!$D$29)/7-TRUNC(TRUNC(Amount!$D$29)/7),3)=0.571,TRUNC(TRUNC(Amount!$D$29)/7)*2+1,
IF(ROUND(TRUNC(Amount!$D$29)/7-TRUNC(TRUNC(Amount!$D$29)/7),3)=0.714,TRUNC(TRUNC(Amount!$D$29)/7)*2+1+Amount!$D$29-TRUNC(Amount!$D$29),
IF(ROUND(TRUNC(Amount!$D$29)/7-TRUNC(TRUNC(Amount!$D$29)/7),3)=0.857,TRUNC(TRUNC(Amount!$D$29)/7)*2+2,
IF(ROUND(TRUNC(Amount!$D$29)/7-TRUNC(TRUNC(Amount!$D$29)/7),3)=0,(TRUNC(TRUNC(Amount!$D$29)/7)-1)*2+2)))))))</f>
        <v>0</v>
      </c>
      <c r="F8" s="58">
        <f>E8</f>
        <v>0</v>
      </c>
      <c r="G8" s="154" t="e">
        <f>F8/SUM(F$8:F$11)</f>
        <v>#DIV/0!</v>
      </c>
      <c r="H8" s="155" t="s">
        <v>123</v>
      </c>
      <c r="I8" s="155"/>
    </row>
    <row r="9" spans="1:9">
      <c r="A9" s="220" t="s">
        <v>227</v>
      </c>
      <c r="B9" s="220"/>
      <c r="C9" s="220"/>
      <c r="D9" s="220"/>
      <c r="E9" s="144">
        <f>IF(ROUND(TRUNC(Amount!$D$29)/7-TRUNC(TRUNC(Amount!$D$29)/7),3)=0.143,TRUNC(TRUNC(Amount!$D$29)/7)*1+0,
IF(ROUND(TRUNC(Amount!$D$29)/7-TRUNC(TRUNC(Amount!$D$29)/7),3)=0.286,TRUNC(TRUNC(Amount!$D$29)/7)*1+0,
IF(ROUND(TRUNC(Amount!$D$29)/7-TRUNC(TRUNC(Amount!$D$29)/7),3)=0.429,TRUNC(TRUNC(Amount!$D$29)/7)*1+0+Amount!$D$29-TRUNC(Amount!$D$29),
IF(ROUND(TRUNC(Amount!$D$29)/7-TRUNC(TRUNC(Amount!$D$29)/7),3)=0.571,TRUNC(TRUNC(Amount!$D$29)/7)*1+1,
IF(ROUND(TRUNC(Amount!$D$29)/7-TRUNC(TRUNC(Amount!$D$29)/7),3)=0.714,TRUNC(TRUNC(Amount!$D$29)/7)*1+1,
IF(ROUND(TRUNC(Amount!$D$29)/7-TRUNC(TRUNC(Amount!$D$29)/7),3)=0.857,TRUNC(TRUNC(Amount!$D$29)/7)*1+1,
IF(ROUND(TRUNC(Amount!$D$29)/7-TRUNC(TRUNC(Amount!$D$29)/7),3)=0,(TRUNC(TRUNC(Amount!$D$29)/7)-1)*1+1)))))))</f>
        <v>0</v>
      </c>
      <c r="F9" s="58">
        <f>E9</f>
        <v>0</v>
      </c>
      <c r="G9" s="154" t="e">
        <f>F9/SUM(F$8:F$11)</f>
        <v>#DIV/0!</v>
      </c>
      <c r="H9" s="155" t="s">
        <v>230</v>
      </c>
      <c r="I9" s="155"/>
    </row>
    <row r="10" spans="1:9">
      <c r="A10" s="220" t="s">
        <v>228</v>
      </c>
      <c r="B10" s="220"/>
      <c r="C10" s="220"/>
      <c r="D10" s="220"/>
      <c r="E10" s="144">
        <f>IF(ROUND(TRUNC(Amount!$D$29)/7-TRUNC(TRUNC(Amount!$D$29)/7),3)=0.143,TRUNC(TRUNC(Amount!$D$29)/7)*3+1,
IF(ROUND(TRUNC(Amount!$D$29)/7-TRUNC(TRUNC(Amount!$D$29)/7),3)=0.286,TRUNC(TRUNC(Amount!$D$29)/7)*3+1+Amount!$D$29-TRUNC(Amount!$D$29),
IF(ROUND(TRUNC(Amount!$D$29)/7-TRUNC(TRUNC(Amount!$D$29)/7),3)=0.429,TRUNC(TRUNC(Amount!$D$29)/7)*3+2,
IF(ROUND(TRUNC(Amount!$D$29)/7-TRUNC(TRUNC(Amount!$D$29)/7),3)=0.571,TRUNC(TRUNC(Amount!$D$29)/7)*3+2+Amount!$D$29-TRUNC(Amount!$D$29),
IF(ROUND(TRUNC(Amount!$D$29)/7-TRUNC(TRUNC(Amount!$D$29)/7),3)=0.714,TRUNC(TRUNC(Amount!$D$29)/7)*3+3,
IF(ROUND(TRUNC(Amount!$D$29)/7-TRUNC(TRUNC(Amount!$D$29)/7),3)=0.857,TRUNC(TRUNC(Amount!$D$29)/7)*3+3,
IF(ROUND(TRUNC(Amount!$D$29)/7-TRUNC(TRUNC(Amount!$D$29)/7),3)=0,(TRUNC(TRUNC(Amount!$D$29)/7)-1)*3+3+Amount!$D$29-TRUNC(Amount!$D$29))))))))</f>
        <v>0</v>
      </c>
      <c r="F10" s="58">
        <f>E10</f>
        <v>0</v>
      </c>
      <c r="G10" s="154" t="e">
        <f>F10/SUM(F$8:F$11)</f>
        <v>#DIV/0!</v>
      </c>
      <c r="H10" s="155" t="s">
        <v>124</v>
      </c>
      <c r="I10" s="155"/>
    </row>
    <row r="11" spans="1:9">
      <c r="A11" s="221" t="s">
        <v>229</v>
      </c>
      <c r="B11" s="221"/>
      <c r="C11" s="221"/>
      <c r="D11" s="221"/>
      <c r="E11" s="156">
        <f>IF(ROUND(TRUNC(Amount!$D$29)/7-TRUNC(TRUNC(Amount!$D$29)/7),3)=0.143,TRUNC(TRUNC(Amount!$D$29)/7)*1+0,
IF(ROUND(TRUNC(Amount!$D$29)/7-TRUNC(TRUNC(Amount!$D$29)/7),3)=0.286,TRUNC(TRUNC(Amount!$D$29)/7)*1+0,
IF(ROUND(TRUNC(Amount!$D$29)/7-TRUNC(TRUNC(Amount!$D$29)/7),3)=0.429,TRUNC(TRUNC(Amount!$D$29)/7)*1+0,
IF(ROUND(TRUNC(Amount!$D$29)/7-TRUNC(TRUNC(Amount!$D$29)/7),3)=0.571,TRUNC(TRUNC(Amount!$D$29)/7)*1+0,
IF(ROUND(TRUNC(Amount!$D$29)/7-TRUNC(TRUNC(Amount!$D$29)/7),3)=0.714,TRUNC(TRUNC(Amount!$D$29)/7)*1+0,
IF(ROUND(TRUNC(Amount!$D$29)/7-TRUNC(TRUNC(Amount!$D$29)/7),3)=0.857,TRUNC(TRUNC(Amount!$D$29)/7)*1+0+Amount!$D$29-TRUNC(Amount!$D$29),
IF(ROUND(TRUNC(Amount!$D$29)/7-TRUNC(TRUNC(Amount!$D$29)/7),3)=0,(TRUNC(TRUNC(Amount!$D$29)/7)-1)*1+1)))))))</f>
        <v>0</v>
      </c>
      <c r="F11" s="58">
        <f>E11</f>
        <v>0</v>
      </c>
      <c r="G11" s="154" t="e">
        <f>F11/SUM(F$8:F$11)</f>
        <v>#DIV/0!</v>
      </c>
      <c r="H11" s="157" t="s">
        <v>231</v>
      </c>
      <c r="I11" s="157"/>
    </row>
    <row r="12" spans="1:9">
      <c r="A12" s="222" t="s">
        <v>40</v>
      </c>
      <c r="B12" s="222"/>
      <c r="C12" s="222"/>
      <c r="D12" s="222"/>
      <c r="E12" s="158">
        <f>SUM(E8:E11)</f>
        <v>0</v>
      </c>
      <c r="F12" s="158">
        <f>SUM(F8:F11)</f>
        <v>0</v>
      </c>
      <c r="G12" s="199" t="s">
        <v>88</v>
      </c>
      <c r="H12" s="200"/>
      <c r="I12" s="201"/>
    </row>
    <row r="13" spans="1:9" s="138" customFormat="1" ht="12">
      <c r="E13" s="148"/>
      <c r="F13" s="148"/>
    </row>
    <row r="14" spans="1:9" ht="41.4">
      <c r="A14" s="142" t="s">
        <v>56</v>
      </c>
      <c r="B14" s="153" t="s">
        <v>81</v>
      </c>
      <c r="C14" s="153" t="s">
        <v>50</v>
      </c>
      <c r="D14" s="153" t="s">
        <v>51</v>
      </c>
      <c r="E14" s="158" t="s">
        <v>89</v>
      </c>
      <c r="F14" s="159" t="s">
        <v>82</v>
      </c>
      <c r="G14" s="199" t="s">
        <v>83</v>
      </c>
      <c r="H14" s="200"/>
      <c r="I14" s="201"/>
    </row>
    <row r="15" spans="1:9">
      <c r="A15" s="160" t="s">
        <v>80</v>
      </c>
      <c r="B15" s="144">
        <f>IF(ROUND(TRUNC(Amount!$D$29)/7-TRUNC(TRUNC(Amount!$D$29)/7),3)=0.143,TRUNC(TRUNC(Amount!$D$29)/7)*3+0+Amount!$D$29-TRUNC(Amount!$D$29),
IF(ROUND(TRUNC(Amount!$D$29)/7-TRUNC(TRUNC(Amount!$D$29)/7),3)=0.286,TRUNC(TRUNC(Amount!$D$29)/7)*3+1,
IF(ROUND(TRUNC(Amount!$D$29)/7-TRUNC(TRUNC(Amount!$D$29)/7),3)=0.429,TRUNC(TRUNC(Amount!$D$29)/7)*3+1+Amount!$D$29-TRUNC(Amount!$D$29),
IF(ROUND(TRUNC(Amount!$D$29)/7-TRUNC(TRUNC(Amount!$D$29)/7),3)=0.571,TRUNC(TRUNC(Amount!$D$29)/7)*3+2,
IF(ROUND(TRUNC(Amount!$D$29)/7-TRUNC(TRUNC(Amount!$D$29)/7),3)=0.714,TRUNC(TRUNC(Amount!$D$29)/7)*3+2+Amount!$D$29-TRUNC(Amount!$D$29),
IF(ROUND(TRUNC(Amount!$D$29)/7-TRUNC(TRUNC(Amount!$D$29)/7),3)=0.857,TRUNC(TRUNC(Amount!$D$29)/7)*3+3,
IF(ROUND(TRUNC(Amount!$D$29)/7-TRUNC(TRUNC(Amount!$D$29)/7),3)=0,(TRUNC(TRUNC(Amount!$D$29)/7)-1)*3+3)))))))</f>
        <v>0</v>
      </c>
      <c r="C15" s="144">
        <f>IF(ROUND(TRUNC(Amount!$D$29)/7-TRUNC(TRUNC(Amount!$D$29)/7),3)=0.143,TRUNC(TRUNC(Amount!$D$29)/7)*3+1,
IF(ROUND(TRUNC(Amount!$D$29)/7-TRUNC(TRUNC(Amount!$D$29)/7),3)=0.286,TRUNC(TRUNC(Amount!$D$29)/7)*3+1+Amount!$D$29-TRUNC(Amount!$D$29),
IF(ROUND(TRUNC(Amount!$D$29)/7-TRUNC(TRUNC(Amount!$D$29)/7),3)=0.429,TRUNC(TRUNC(Amount!$D$29)/7)*3+2,
IF(ROUND(TRUNC(Amount!$D$29)/7-TRUNC(TRUNC(Amount!$D$29)/7),3)=0.571,TRUNC(TRUNC(Amount!$D$29)/7)*3+2,
IF(ROUND(TRUNC(Amount!$D$29)/7-TRUNC(TRUNC(Amount!$D$29)/7),3)=0.714,TRUNC(TRUNC(Amount!$D$29)/7)*3+2,
IF(ROUND(TRUNC(Amount!$D$29)/7-TRUNC(TRUNC(Amount!$D$29)/7),3)=0.857,TRUNC(TRUNC(Amount!$D$29)/7)*3+2+Amount!$D$29-TRUNC(Amount!$D$29),
IF(ROUND(TRUNC(Amount!$D$29)/7-TRUNC(TRUNC(Amount!$D$29)/7),3)=0,(TRUNC(TRUNC(Amount!$D$29)/7)-1)*3+3+Amount!$D$29-TRUNC(Amount!$D$29))))))))</f>
        <v>0</v>
      </c>
      <c r="D15" s="161">
        <f>IF(ROUND(TRUNC(Amount!$D$29)/7-TRUNC(TRUNC(Amount!$D$29)/7),3)=0.143,TRUNC(TRUNC(Amount!$D$29)/7)*1+0,
IF(ROUND(TRUNC(Amount!$D$29)/7-TRUNC(TRUNC(Amount!$D$29)/7),3)=0.286,TRUNC(TRUNC(Amount!$D$29)/7)*1+0,
IF(ROUND(TRUNC(Amount!$D$29)/7-TRUNC(TRUNC(Amount!$D$29)/7),3)=0.429,TRUNC(TRUNC(Amount!$D$29)/7)*1+0,
IF(ROUND(TRUNC(Amount!$D$29)/7-TRUNC(TRUNC(Amount!$D$29)/7),3)=0.571,TRUNC(TRUNC(Amount!$D$29)/7)*1+0+Amount!$D$29-TRUNC(Amount!$D$29),
IF(ROUND(TRUNC(Amount!$D$29)/7-TRUNC(TRUNC(Amount!$D$29)/7),3)=0.714,TRUNC(TRUNC(Amount!$D$29)/7)*1+1,
IF(ROUND(TRUNC(Amount!$D$29)/7-TRUNC(TRUNC(Amount!$D$29)/7),3)=0.857,TRUNC(TRUNC(Amount!$D$29)/7)*1+1,
IF(ROUND(TRUNC(Amount!$D$29)/7-TRUNC(TRUNC(Amount!$D$29)/7),3)=0,(TRUNC(TRUNC(Amount!$D$29)/7)-1)*1+1)))))))</f>
        <v>0</v>
      </c>
      <c r="E15" s="144">
        <f>SUM(B15:D15)</f>
        <v>0</v>
      </c>
      <c r="F15" s="144">
        <f>Amount!$D$29*E17</f>
        <v>0</v>
      </c>
      <c r="G15" s="210" t="s">
        <v>280</v>
      </c>
      <c r="H15" s="211"/>
      <c r="I15" s="212"/>
    </row>
    <row r="16" spans="1:9">
      <c r="A16" s="160" t="s">
        <v>87</v>
      </c>
      <c r="B16" s="59">
        <f>B15</f>
        <v>0</v>
      </c>
      <c r="C16" s="60">
        <f>C15</f>
        <v>0</v>
      </c>
      <c r="D16" s="61">
        <f>D15</f>
        <v>0</v>
      </c>
      <c r="E16" s="144">
        <f>SUM(B16:D16)</f>
        <v>0</v>
      </c>
      <c r="F16" s="144">
        <f>B16*B17+C16*C17+D16*D17</f>
        <v>0</v>
      </c>
      <c r="G16" s="213"/>
      <c r="H16" s="214"/>
      <c r="I16" s="215"/>
    </row>
    <row r="17" spans="1:9">
      <c r="A17" s="162" t="s">
        <v>84</v>
      </c>
      <c r="B17" s="142">
        <v>1.45</v>
      </c>
      <c r="C17" s="163">
        <v>2</v>
      </c>
      <c r="D17" s="164">
        <v>2.1</v>
      </c>
      <c r="E17" s="163">
        <v>1.8</v>
      </c>
      <c r="F17" s="142"/>
      <c r="G17" s="216"/>
      <c r="H17" s="217"/>
      <c r="I17" s="218"/>
    </row>
    <row r="18" spans="1:9" s="138" customFormat="1" ht="12">
      <c r="D18" s="165"/>
    </row>
    <row r="19" spans="1:9">
      <c r="A19" s="137" t="s">
        <v>233</v>
      </c>
      <c r="D19" s="166"/>
    </row>
    <row r="20" spans="1:9" ht="38.25" customHeight="1">
      <c r="A20" s="219" t="s">
        <v>293</v>
      </c>
      <c r="B20" s="219"/>
      <c r="C20" s="219"/>
      <c r="D20" s="219"/>
      <c r="E20" s="219"/>
      <c r="F20" s="219"/>
      <c r="G20" s="219"/>
      <c r="H20" s="219"/>
      <c r="I20" s="219"/>
    </row>
    <row r="21" spans="1:9">
      <c r="A21" s="208" t="s">
        <v>85</v>
      </c>
      <c r="B21" s="208"/>
      <c r="C21" s="208"/>
      <c r="D21" s="208"/>
      <c r="E21" s="208"/>
      <c r="F21" s="199" t="s">
        <v>86</v>
      </c>
      <c r="G21" s="200"/>
      <c r="H21" s="201"/>
      <c r="I21" s="167"/>
    </row>
    <row r="22" spans="1:9">
      <c r="A22" s="155"/>
      <c r="B22" s="155" t="s">
        <v>81</v>
      </c>
      <c r="C22" s="155" t="s">
        <v>50</v>
      </c>
      <c r="D22" s="155" t="s">
        <v>51</v>
      </c>
      <c r="E22" s="142" t="s">
        <v>40</v>
      </c>
      <c r="F22" s="155" t="s">
        <v>81</v>
      </c>
      <c r="G22" s="155" t="s">
        <v>50</v>
      </c>
      <c r="H22" s="155" t="s">
        <v>51</v>
      </c>
      <c r="I22" s="167"/>
    </row>
    <row r="23" spans="1:9">
      <c r="A23" s="160" t="s">
        <v>52</v>
      </c>
      <c r="B23" s="63">
        <f>B29</f>
        <v>0</v>
      </c>
      <c r="C23" s="64">
        <f>IF(AND(B33&lt;B16,E29&lt;F8,ABS(C29+1-G23)&lt;1),C29+1,C29)</f>
        <v>0</v>
      </c>
      <c r="D23" s="65">
        <f>IF(AND(E29&lt;F8,B33&lt;B16,ABS(B30+1-F24)&lt;1,ABS(C29+1-G23)&gt;1),D29+1,D29)</f>
        <v>0</v>
      </c>
      <c r="E23" s="158">
        <f>SUM(B23:D23)</f>
        <v>0</v>
      </c>
      <c r="F23" s="144">
        <f>F8*3/7</f>
        <v>0</v>
      </c>
      <c r="G23" s="144">
        <f>F8*3/7</f>
        <v>0</v>
      </c>
      <c r="H23" s="144">
        <f>F8*1/7</f>
        <v>0</v>
      </c>
      <c r="I23" s="167"/>
    </row>
    <row r="24" spans="1:9">
      <c r="A24" s="160" t="s">
        <v>53</v>
      </c>
      <c r="B24" s="63">
        <f>IF(AND(B33&lt;B16,E29&lt;F8,ABS(B30+1-F24)&lt;1,ABS(C29+1-G23)&lt;1),B30+1,B30)</f>
        <v>0</v>
      </c>
      <c r="C24" s="64">
        <f>IF(AND(B33&lt;B16,E29&lt;F8,ABS(B30+1-F24)&lt;1,ABS(C29+1-G23)&lt;1),C30-1,C30)</f>
        <v>0</v>
      </c>
      <c r="D24" s="65">
        <f>D30</f>
        <v>0</v>
      </c>
      <c r="E24" s="158">
        <f>SUM(B24:D24)</f>
        <v>0</v>
      </c>
      <c r="F24" s="144">
        <f>F9*3/7</f>
        <v>0</v>
      </c>
      <c r="G24" s="144">
        <f>F9*3/7</f>
        <v>0</v>
      </c>
      <c r="H24" s="144">
        <f>F9*1/7</f>
        <v>0</v>
      </c>
      <c r="I24" s="167"/>
    </row>
    <row r="25" spans="1:9">
      <c r="A25" s="160" t="s">
        <v>54</v>
      </c>
      <c r="B25" s="63">
        <f>IF(AND(B33&lt;B16,E29&lt;F8,OR(ABS(B30+1-F24)&gt;=1,ABS(C29+1-G23)&gt;1)),B31+1,B31)</f>
        <v>0</v>
      </c>
      <c r="C25" s="64">
        <f>IF(AND(B33&lt;B16,E29&lt;F8,ABS(B30+1-F24)&gt;=1),C31-1,C31)</f>
        <v>0</v>
      </c>
      <c r="D25" s="65">
        <f>IF(AND(E29&lt;F8,B33&lt;B16,ABS(B30+1-F24)&lt;1,ABS(C29+1-G23)&gt;1),D31-1,D31)</f>
        <v>0</v>
      </c>
      <c r="E25" s="158">
        <f>SUM(B25:D25)</f>
        <v>0</v>
      </c>
      <c r="F25" s="144">
        <f>F10*3/7</f>
        <v>0</v>
      </c>
      <c r="G25" s="144">
        <f>F10*3/7</f>
        <v>0</v>
      </c>
      <c r="H25" s="144">
        <f>F10*1/7</f>
        <v>0</v>
      </c>
      <c r="I25" s="167"/>
    </row>
    <row r="26" spans="1:9">
      <c r="A26" s="160" t="s">
        <v>55</v>
      </c>
      <c r="B26" s="66">
        <f>B32</f>
        <v>0</v>
      </c>
      <c r="C26" s="67">
        <f>C32</f>
        <v>0</v>
      </c>
      <c r="D26" s="68">
        <f>D32</f>
        <v>0</v>
      </c>
      <c r="E26" s="158">
        <f>SUM(B26:D26)</f>
        <v>0</v>
      </c>
      <c r="F26" s="144">
        <f>F11*3/7</f>
        <v>0</v>
      </c>
      <c r="G26" s="144">
        <f>F11*3/7</f>
        <v>0</v>
      </c>
      <c r="H26" s="144">
        <f>F11*1/7</f>
        <v>0</v>
      </c>
      <c r="I26" s="167"/>
    </row>
    <row r="27" spans="1:9">
      <c r="A27" s="162" t="s">
        <v>40</v>
      </c>
      <c r="B27" s="158">
        <f>SUM(B23:B26)</f>
        <v>0</v>
      </c>
      <c r="C27" s="158">
        <f>SUM(C23:C26)</f>
        <v>0</v>
      </c>
      <c r="D27" s="158">
        <f>SUM(D23:D26)</f>
        <v>0</v>
      </c>
      <c r="E27" s="168"/>
      <c r="F27" s="209"/>
      <c r="G27" s="209"/>
      <c r="H27" s="209"/>
      <c r="I27" s="169"/>
    </row>
    <row r="28" spans="1:9" hidden="1">
      <c r="A28" s="182"/>
      <c r="B28" s="183"/>
      <c r="C28" s="183"/>
      <c r="D28" s="183"/>
      <c r="E28" s="184"/>
      <c r="F28" s="185"/>
      <c r="G28" s="185"/>
      <c r="H28" s="185"/>
      <c r="I28" s="169"/>
    </row>
    <row r="29" spans="1:9" hidden="1">
      <c r="A29" s="186"/>
      <c r="B29" s="187">
        <f>IF(ROUNDUP(F29,0)+C29+D29+IF(AND(F8-TRUNC(F8)&gt;0,B16-TRUNC(B16)&gt;0),F8-TRUNC(F8)+0.0001,0)&gt;F8,ROUNDDOWN(F29,0),IF(ROUNDUP(F29,0)+B32+B31+B30+IF(AND(F8-TRUNC(F8)&gt;0,B16-TRUNC(B16)&gt;0),F8-TRUNC(F8)+0.0001,0)&gt;B16,ROUNDDOWN(F29,0),ROUNDUP(F29,0)))+IF(AND(F8-TRUNC(F8)&gt;0,B16-TRUNC(B16)&gt;0),F8-TRUNC(F8),0)</f>
        <v>0</v>
      </c>
      <c r="C29" s="187">
        <f>IF(ROUNDUP(G29,0)+ROUNDDOWN(F29,0)+D29+IF(AND(F8-TRUNC(F8)&gt;0,C16-TRUNC(C16)&gt;0),F8-TRUNC(F8)+0.0001,0)&gt;F8,ROUNDDOWN(G29,0),IF(ROUNDUP(G29,0)+C32+C31+C30+IF(AND(F8-TRUNC(F8)&gt;0,C16-TRUNC(C16)&gt;0),F8-TRUNC(F8)+0.0001,0)&gt;C16,ROUNDDOWN(G29,0),ROUNDUP(G29,0)))+IF(AND(F8-TRUNC(F8)&gt;0,C16-TRUNC(C16)&gt;0),F8-TRUNC(F8),0)</f>
        <v>0</v>
      </c>
      <c r="D29" s="187">
        <f>IF(ROUNDUP(H29,0)+ROUNDDOWN(G29,0)+ROUNDDOWN(F29,0)+IF(AND(F8-TRUNC(F8)&gt;0,D16-TRUNC(D16)&gt;0),F8-TRUNC(F8)+0.0001,0)&gt;F8,ROUNDDOWN(H29,0),IF(ROUNDUP(H29,0)+D32+D31+D30+IF(AND(F8-TRUNC(F8)&gt;0,D16-TRUNC(D16)&gt;0),F8-TRUNC(F8)+0.0001,0)&gt;D16,ROUNDDOWN(H29,0),ROUNDUP(H29,0)))+IF(AND(F8-TRUNC(F8)&gt;0,D16-TRUNC(D16)&gt;0),F8-TRUNC(F8),0)</f>
        <v>0</v>
      </c>
      <c r="E29" s="188">
        <f>SUM(B29:D29)</f>
        <v>0</v>
      </c>
      <c r="F29" s="189">
        <f t="shared" ref="F29:G32" si="0">ROUNDDOWN($F8,0)*3/7</f>
        <v>0</v>
      </c>
      <c r="G29" s="189">
        <f t="shared" si="0"/>
        <v>0</v>
      </c>
      <c r="H29" s="189">
        <f>ROUNDDOWN($F8,0)*1/7</f>
        <v>0</v>
      </c>
    </row>
    <row r="30" spans="1:9" hidden="1">
      <c r="A30" s="186"/>
      <c r="B30" s="187">
        <f>IF(ROUNDUP(F30,0)+C30+D30+IF(AND(F9-TRUNC(F9)&gt;0,B16-TRUNC(B16)&gt;0),F9-TRUNC(F9)+0.0001,0)&gt;F9,ROUNDDOWN(F30,0),IF(ROUNDUP(F30,0)+ROUNDDOWN(F29,0)+B32+B31+IF(AND(F9-TRUNC(F9)&gt;0,B16-TRUNC(B16)&gt;0),F9-TRUNC(F9)+0.0001,0)&gt;B16,ROUNDDOWN(F30,0),ROUNDUP(F30,0)))+IF(AND(F9-TRUNC(F9)&gt;0,B16-TRUNC(B16)&gt;0),F9-TRUNC(F9),0)</f>
        <v>0</v>
      </c>
      <c r="C30" s="187">
        <f>IF(ROUNDUP(G30,0)+ROUNDDOWN(F30,0)+D30+IF(AND(F9-TRUNC(F9)&gt;0,C16-TRUNC(C16)&gt;0),F9-TRUNC(F9)+0.0001,0)&gt;F9,ROUNDDOWN(G30,0),IF(ROUNDUP(G30,0)+ROUNDDOWN(G29,0)+C32+C31+IF(AND(F9-TRUNC(F9)&gt;0,C16-TRUNC(C16)&gt;0),F9-TRUNC(F9)+0.0001,0)&gt;C16,ROUNDDOWN(G30,0),ROUNDUP(G30,0)))+IF(AND(F9-TRUNC(F9)&gt;0,C16-TRUNC(C16)&gt;0),F9-TRUNC(F9),0)</f>
        <v>0</v>
      </c>
      <c r="D30" s="187">
        <f>IF(ROUNDUP(H30,0)+ROUNDDOWN(G30,0)+ROUNDDOWN(F30,0)+IF(AND(F9-TRUNC(F9)&gt;0,D16-TRUNC(D16)&gt;0),F9-TRUNC(F9)+0.0001,0)&gt;F9,ROUNDDOWN(H30,0),IF(ROUNDUP(H30,0)+ROUNDDOWN(H29,0)+D32+D31+IF(AND(F9-TRUNC(F9)&gt;0,D16-TRUNC(D16)&gt;0),F9-TRUNC(F9)+0.0001,0)&gt;D16,ROUNDDOWN(H30,0),ROUNDUP(H30,0)))+IF(AND(F9-TRUNC(F9)&gt;0,D16-TRUNC(D16)&gt;0),F9-TRUNC(F9),0)</f>
        <v>0</v>
      </c>
      <c r="E30" s="188">
        <f>SUM(B30:D30)</f>
        <v>0</v>
      </c>
      <c r="F30" s="189">
        <f t="shared" si="0"/>
        <v>0</v>
      </c>
      <c r="G30" s="189">
        <f t="shared" si="0"/>
        <v>0</v>
      </c>
      <c r="H30" s="189">
        <f>ROUNDDOWN($F9,0)*1/7</f>
        <v>0</v>
      </c>
    </row>
    <row r="31" spans="1:9" hidden="1">
      <c r="A31" s="186"/>
      <c r="B31" s="187">
        <f>IF(ROUNDUP(F31,0)+C31+D31+IF(AND(F10-TRUNC(F10)&gt;0,B16-TRUNC(B16)&gt;0),F10-TRUNC(F10)+0.0001,0)&gt;F10,ROUNDDOWN(F31,0),IF(ROUNDUP(F31,0)+ROUNDDOWN(F30,0)+ROUNDDOWN(F29,0)+B32+IF(AND(F10-TRUNC(F10)&gt;0,B16-TRUNC(B16)&gt;0),F10-TRUNC(F10)+0.0001,0)&gt;B16,ROUNDDOWN(F31,0),ROUNDUP(F31,0)))+IF(AND(F10-TRUNC(F10)&gt;0,B16-TRUNC(B16)&gt;0),F10-TRUNC(F10),0)</f>
        <v>0</v>
      </c>
      <c r="C31" s="187">
        <f>IF(ROUNDUP(G31,0)+ROUNDDOWN(F31,0)+D31+IF(AND(F10-TRUNC(F10)&gt;0,C16-TRUNC(C16)&gt;0),F10-TRUNC(F10)+0.0001,0)&gt;F10,ROUNDDOWN(G31,0),IF(ROUNDUP(G31,0)+ROUNDDOWN(G30,0)+ROUNDDOWN(G29,0)+C32+IF(AND(F10-TRUNC(F10)&gt;0,C16-TRUNC(C16)&gt;0),F10-TRUNC(F10)+0.0001,0)&gt;C16,ROUNDDOWN(G31,0),ROUNDUP(G31,0)))+IF(AND(F10-TRUNC(F10)&gt;0,C16-TRUNC(C16)&gt;0),F10-TRUNC(F10),0)</f>
        <v>0</v>
      </c>
      <c r="D31" s="187">
        <f>IF(ROUNDUP(H31,0)+ROUNDDOWN(G31,0)+ROUNDDOWN(F31,0)+IF(AND(F10-TRUNC(F10)&gt;0,D16-TRUNC(D16)&gt;0),F10-TRUNC(F10)+0.0001,0)&gt;F10,ROUNDDOWN(H31,0),IF(ROUNDUP(H31,0)+ROUNDDOWN(H30,0)+ROUNDDOWN(H29,0)+D32+IF(AND(F10-TRUNC(F10)&gt;0,D16-TRUNC(D16)&gt;0),F10-TRUNC(F10)+0.0001,0)&gt;D16,ROUNDDOWN(H31,0),ROUNDUP(H31,0)))+IF(AND(F10-TRUNC(F10)&gt;0,D16-TRUNC(D16)&gt;0),F10-TRUNC(F10),0)</f>
        <v>0</v>
      </c>
      <c r="E31" s="188">
        <f>SUM(B31:D31)</f>
        <v>0</v>
      </c>
      <c r="F31" s="189">
        <f t="shared" si="0"/>
        <v>0</v>
      </c>
      <c r="G31" s="189">
        <f t="shared" si="0"/>
        <v>0</v>
      </c>
      <c r="H31" s="189">
        <f>ROUNDDOWN($F10,0)*1/7</f>
        <v>0</v>
      </c>
    </row>
    <row r="32" spans="1:9" hidden="1">
      <c r="A32" s="186"/>
      <c r="B32" s="187">
        <f>IF(ROUNDUP(F32,0)+C32+D32+IF(AND(F11-TRUNC(F11)&gt;0,B16-TRUNC(B16)&gt;0),F11-TRUNC(F11)+0.0001,0)&gt;F11,ROUNDDOWN(F32,0),IF(ROUNDUP(F32,0)+ROUNDDOWN(F31,0)+ROUNDDOWN(F30,0)+ROUNDDOWN(F29,0)+IF(AND(F11-TRUNC(F11)&gt;0,B16-TRUNC(B16)&gt;0),F11-TRUNC(F11)+0.0001,0)&gt;B16,ROUNDDOWN(F32,0),ROUNDUP(F32,0)))+IF(AND(F11-TRUNC(F11)&gt;0,B16-TRUNC(B16)&gt;0),F11-TRUNC(F11),0)</f>
        <v>0</v>
      </c>
      <c r="C32" s="187">
        <f>IF(ROUNDUP(G32,0)+ROUNDDOWN(F32,0)+D32+IF(AND(F11-TRUNC(F11)&gt;0,C16-TRUNC(C16)&gt;0),F11-TRUNC(F11)+0.0001,0)&gt;F11,ROUNDDOWN(G32,0),IF(ROUNDUP(G32,0)+ROUNDDOWN(G31,0)+ROUNDDOWN(G30,0)+ROUNDDOWN(G29,0)+IF(AND(F11-TRUNC(F11)&gt;0,C16-TRUNC(C16)&gt;0),F11-TRUNC(F11)+0.0001,0)&gt;C16,ROUNDDOWN(G32,0),ROUNDUP(G32,0)))+IF(AND(F11-TRUNC(F11)&gt;0,C16-TRUNC(C16)&gt;0),F11-TRUNC(F11),0)</f>
        <v>0</v>
      </c>
      <c r="D32" s="187">
        <f>IF(ROUNDUP(H32,0)+ROUNDDOWN(G32,0)+ROUNDDOWN(F32,0)+IF(AND(F11-TRUNC(F11)&gt;0,D16-TRUNC(D16)&gt;0),F11-TRUNC(F11)+0.0001,0)&gt;F11,ROUNDDOWN(H32,0),IF(ROUNDUP(H32,0)+ROUNDDOWN(H31,0)+ROUNDDOWN(H30,0)+ROUNDDOWN(H29,0)+IF(AND(F11-TRUNC(F11)&gt;0,D16-TRUNC(D16)&gt;0),F11-TRUNC(F11)+0.0001,0)&gt;D16,ROUNDDOWN(H32,0),ROUNDUP(H32,0)))+IF(AND(F11-TRUNC(F11)&gt;0,D16-TRUNC(D16)&gt;0),F11-TRUNC(F11),0)</f>
        <v>0</v>
      </c>
      <c r="E32" s="188">
        <f>SUM(B32:D32)</f>
        <v>0</v>
      </c>
      <c r="F32" s="189">
        <f t="shared" si="0"/>
        <v>0</v>
      </c>
      <c r="G32" s="189">
        <f t="shared" si="0"/>
        <v>0</v>
      </c>
      <c r="H32" s="189">
        <f>ROUNDDOWN($F11,0)*1/7</f>
        <v>0</v>
      </c>
    </row>
    <row r="33" spans="1:9" hidden="1">
      <c r="A33" s="190"/>
      <c r="B33" s="188">
        <f>SUM(B29:B32)</f>
        <v>0</v>
      </c>
      <c r="C33" s="188">
        <f>SUM(C29:C32)</f>
        <v>0</v>
      </c>
      <c r="D33" s="188">
        <f>SUM(D29:D32)</f>
        <v>0</v>
      </c>
      <c r="E33" s="191"/>
      <c r="F33" s="192"/>
      <c r="G33" s="186"/>
      <c r="H33" s="186"/>
    </row>
    <row r="34" spans="1:9" hidden="1">
      <c r="A34" s="182"/>
      <c r="B34" s="183"/>
      <c r="C34" s="183"/>
      <c r="D34" s="183"/>
      <c r="E34" s="184"/>
      <c r="F34" s="185"/>
      <c r="G34" s="185"/>
      <c r="H34" s="185"/>
      <c r="I34" s="169"/>
    </row>
    <row r="35" spans="1:9" s="138" customFormat="1" ht="12"/>
    <row r="36" spans="1:9" hidden="1">
      <c r="A36" s="170" t="str">
        <f>Dropdowns!C17</f>
        <v>1 bed, &lt; 50% Median Income</v>
      </c>
      <c r="B36" s="171">
        <f>IF(B23&gt;TRUNC(B23),TRUNC(B23),B23)</f>
        <v>0</v>
      </c>
      <c r="D36" s="170"/>
      <c r="E36" s="170"/>
      <c r="F36" s="170"/>
      <c r="G36" s="170"/>
      <c r="H36" s="170"/>
      <c r="I36" s="170"/>
    </row>
    <row r="37" spans="1:9" hidden="1">
      <c r="A37" s="170" t="str">
        <f>Dropdowns!C18</f>
        <v>2 bed, &lt; 50% Median Income</v>
      </c>
      <c r="B37" s="147">
        <f>IF(C23&gt;TRUNC(C23),TRUNC(C23),C23)</f>
        <v>0</v>
      </c>
    </row>
    <row r="38" spans="1:9" hidden="1">
      <c r="A38" s="170" t="str">
        <f>Dropdowns!C19</f>
        <v>3 bed, &lt; 50% Median Income</v>
      </c>
      <c r="B38" s="147">
        <f>IF(D23&gt;TRUNC(D23),TRUNC(D23),D23)</f>
        <v>0</v>
      </c>
    </row>
    <row r="39" spans="1:9" hidden="1">
      <c r="A39" s="170" t="str">
        <f>Dropdowns!C20</f>
        <v>1 bed, &lt; 80% Median Income</v>
      </c>
      <c r="B39" s="147">
        <f>IF(B24&gt;TRUNC(B24),TRUNC(B24),B24)</f>
        <v>0</v>
      </c>
    </row>
    <row r="40" spans="1:9" hidden="1">
      <c r="A40" s="170" t="str">
        <f>Dropdowns!C21</f>
        <v>2 bed, &lt; 80% Median Income</v>
      </c>
      <c r="B40" s="147">
        <f>IF(C24&gt;TRUNC(C24),TRUNC(C24),C24)</f>
        <v>0</v>
      </c>
    </row>
    <row r="41" spans="1:9" hidden="1">
      <c r="A41" s="170" t="str">
        <f>Dropdowns!C22</f>
        <v>3 bed, &lt; 80% Median Income</v>
      </c>
      <c r="B41" s="147">
        <f>IF(D24&gt;TRUNC(D24),TRUNC(D24),D24)</f>
        <v>0</v>
      </c>
    </row>
    <row r="42" spans="1:9" hidden="1">
      <c r="A42" s="170" t="str">
        <f>Dropdowns!C23</f>
        <v>1 bed, &lt; 120% Median Income</v>
      </c>
      <c r="B42" s="147">
        <f>IF(B25&gt;TRUNC(B25),TRUNC(B25),B25)</f>
        <v>0</v>
      </c>
    </row>
    <row r="43" spans="1:9" hidden="1">
      <c r="A43" s="170" t="str">
        <f>Dropdowns!C24</f>
        <v>2 bed, &lt; 120% Median Income</v>
      </c>
      <c r="B43" s="147">
        <f>IF(C25&gt;TRUNC(C25),TRUNC(C25),C25)</f>
        <v>0</v>
      </c>
    </row>
    <row r="44" spans="1:9" hidden="1">
      <c r="A44" s="170" t="str">
        <f>Dropdowns!C25</f>
        <v>3 bed, &lt; 120% Median Income</v>
      </c>
      <c r="B44" s="147">
        <f>IF(D25&gt;TRUNC(D25),TRUNC(D25),D25)</f>
        <v>0</v>
      </c>
    </row>
    <row r="45" spans="1:9" hidden="1">
      <c r="A45" s="170" t="str">
        <f>Dropdowns!C26</f>
        <v>1 bed, Workforce</v>
      </c>
      <c r="B45" s="147">
        <f>IF(B26&gt;TRUNC(B26),TRUNC(B26),B26)</f>
        <v>0</v>
      </c>
    </row>
    <row r="46" spans="1:9" hidden="1">
      <c r="A46" s="170" t="str">
        <f>Dropdowns!C27</f>
        <v>2 bed, Workforce</v>
      </c>
      <c r="B46" s="147">
        <f>IF(C26&gt;TRUNC(C26),TRUNC(C26),C26)</f>
        <v>0</v>
      </c>
    </row>
    <row r="47" spans="1:9" hidden="1">
      <c r="A47" s="170" t="str">
        <f>Dropdowns!C28</f>
        <v>3 bed, Workforce</v>
      </c>
      <c r="B47" s="147">
        <f>IF(D26&gt;TRUNC(D26),TRUNC(D26),D26)</f>
        <v>0</v>
      </c>
    </row>
    <row r="48" spans="1:9" hidden="1">
      <c r="A48" s="170" t="str">
        <f>Dropdowns!C17</f>
        <v>1 bed, &lt; 50% Median Income</v>
      </c>
      <c r="B48" s="171">
        <f>B23-B36</f>
        <v>0</v>
      </c>
      <c r="C48" s="147"/>
    </row>
    <row r="49" spans="1:9" hidden="1">
      <c r="A49" s="170" t="str">
        <f>Dropdowns!C18</f>
        <v>2 bed, &lt; 50% Median Income</v>
      </c>
      <c r="B49" s="147">
        <f>C23-B37</f>
        <v>0</v>
      </c>
      <c r="C49" s="147"/>
    </row>
    <row r="50" spans="1:9" hidden="1">
      <c r="A50" s="170" t="str">
        <f>Dropdowns!C19</f>
        <v>3 bed, &lt; 50% Median Income</v>
      </c>
      <c r="B50" s="147">
        <f>D23-B38</f>
        <v>0</v>
      </c>
      <c r="C50" s="147"/>
    </row>
    <row r="51" spans="1:9" hidden="1">
      <c r="A51" s="170" t="str">
        <f>Dropdowns!C20</f>
        <v>1 bed, &lt; 80% Median Income</v>
      </c>
      <c r="B51" s="147">
        <f>B24-B39</f>
        <v>0</v>
      </c>
      <c r="C51" s="147"/>
    </row>
    <row r="52" spans="1:9" hidden="1">
      <c r="A52" s="170" t="str">
        <f>Dropdowns!C21</f>
        <v>2 bed, &lt; 80% Median Income</v>
      </c>
      <c r="B52" s="147">
        <f>C24-B40</f>
        <v>0</v>
      </c>
      <c r="C52" s="147"/>
    </row>
    <row r="53" spans="1:9" hidden="1">
      <c r="A53" s="170" t="str">
        <f>Dropdowns!C22</f>
        <v>3 bed, &lt; 80% Median Income</v>
      </c>
      <c r="B53" s="147">
        <f>D24-B41</f>
        <v>0</v>
      </c>
      <c r="C53" s="147"/>
    </row>
    <row r="54" spans="1:9" hidden="1">
      <c r="A54" s="170" t="str">
        <f>Dropdowns!C23</f>
        <v>1 bed, &lt; 120% Median Income</v>
      </c>
      <c r="B54" s="147">
        <f>B25-B42</f>
        <v>0</v>
      </c>
      <c r="C54" s="147"/>
    </row>
    <row r="55" spans="1:9" hidden="1">
      <c r="A55" s="170" t="str">
        <f>Dropdowns!C24</f>
        <v>2 bed, &lt; 120% Median Income</v>
      </c>
      <c r="B55" s="147">
        <f>C25-B43</f>
        <v>0</v>
      </c>
      <c r="C55" s="147"/>
    </row>
    <row r="56" spans="1:9" hidden="1">
      <c r="A56" s="170" t="str">
        <f>Dropdowns!C25</f>
        <v>3 bed, &lt; 120% Median Income</v>
      </c>
      <c r="B56" s="147">
        <f>D25-B44</f>
        <v>0</v>
      </c>
      <c r="C56" s="147"/>
    </row>
    <row r="57" spans="1:9" hidden="1">
      <c r="A57" s="170" t="str">
        <f>Dropdowns!C26</f>
        <v>1 bed, Workforce</v>
      </c>
      <c r="B57" s="147">
        <f>B26-B45</f>
        <v>0</v>
      </c>
      <c r="C57" s="147"/>
    </row>
    <row r="58" spans="1:9" hidden="1">
      <c r="A58" s="170" t="str">
        <f>Dropdowns!C27</f>
        <v>2 bed, Workforce</v>
      </c>
      <c r="B58" s="147">
        <f>C26-B46</f>
        <v>0</v>
      </c>
      <c r="C58" s="147"/>
    </row>
    <row r="59" spans="1:9" hidden="1">
      <c r="A59" s="170" t="str">
        <f>Dropdowns!C28</f>
        <v>3 bed, Workforce</v>
      </c>
      <c r="B59" s="147">
        <f>D26-B47</f>
        <v>0</v>
      </c>
      <c r="C59" s="147"/>
    </row>
    <row r="60" spans="1:9" ht="25.5" customHeight="1">
      <c r="A60" s="193" t="s">
        <v>307</v>
      </c>
      <c r="B60" s="193"/>
      <c r="C60" s="193"/>
      <c r="D60" s="193"/>
      <c r="E60" s="193"/>
      <c r="F60" s="193"/>
      <c r="G60" s="193"/>
      <c r="H60" s="193"/>
      <c r="I60" s="193"/>
    </row>
  </sheetData>
  <sheetProtection sheet="1" objects="1" scenarios="1" selectLockedCells="1"/>
  <mergeCells count="17">
    <mergeCell ref="A12:D12"/>
    <mergeCell ref="H1:I1"/>
    <mergeCell ref="A60:I60"/>
    <mergeCell ref="A6:I6"/>
    <mergeCell ref="A7:D7"/>
    <mergeCell ref="A21:E21"/>
    <mergeCell ref="F21:H21"/>
    <mergeCell ref="F27:H27"/>
    <mergeCell ref="G12:I12"/>
    <mergeCell ref="G14:I14"/>
    <mergeCell ref="G15:I16"/>
    <mergeCell ref="G17:I17"/>
    <mergeCell ref="A20:I20"/>
    <mergeCell ref="A8:D8"/>
    <mergeCell ref="A9:D9"/>
    <mergeCell ref="A10:D10"/>
    <mergeCell ref="A11:D11"/>
  </mergeCells>
  <conditionalFormatting sqref="E16">
    <cfRule type="expression" dxfId="17" priority="12">
      <formula>$E$16&lt;$F$12</formula>
    </cfRule>
  </conditionalFormatting>
  <conditionalFormatting sqref="E23:E26">
    <cfRule type="cellIs" dxfId="16" priority="6" operator="lessThan">
      <formula>$F8</formula>
    </cfRule>
    <cfRule type="cellIs" dxfId="15" priority="7" operator="greaterThan">
      <formula>$F8</formula>
    </cfRule>
  </conditionalFormatting>
  <conditionalFormatting sqref="B23:D26">
    <cfRule type="expression" dxfId="14" priority="5">
      <formula>ABS(B23-F23)&gt;1</formula>
    </cfRule>
  </conditionalFormatting>
  <conditionalFormatting sqref="G8:G11">
    <cfRule type="expression" priority="2" stopIfTrue="1">
      <formula>AND($E$8=$F$8,$E$9=$F$9,$E$10=$F$10,$E$11=$F$11)</formula>
    </cfRule>
  </conditionalFormatting>
  <conditionalFormatting sqref="F16">
    <cfRule type="expression" priority="25" stopIfTrue="1">
      <formula>AND($B$15=$B$16,$C$15=$C$16,$D$15=$D$16)</formula>
    </cfRule>
    <cfRule type="cellIs" dxfId="13" priority="26" operator="lessThan">
      <formula>$F$15</formula>
    </cfRule>
  </conditionalFormatting>
  <conditionalFormatting sqref="B27:D27">
    <cfRule type="cellIs" dxfId="12" priority="8" operator="lessThan">
      <formula>B$16</formula>
    </cfRule>
    <cfRule type="cellIs" dxfId="11" priority="9" operator="greaterThan">
      <formula>B$16</formula>
    </cfRule>
  </conditionalFormatting>
  <conditionalFormatting sqref="B29:D32">
    <cfRule type="expression" dxfId="10" priority="1">
      <formula>B29&lt;&gt;B23</formula>
    </cfRule>
  </conditionalFormatting>
  <hyperlinks>
    <hyperlink ref="A60:I60" location="Method!A1" display="Once you have determined the proposed distribution please fill out the Method Sheet regarding how the required housing will be provided." xr:uid="{B23387F0-9F9F-4487-9E1B-BE326DA3DD87}"/>
  </hyperlinks>
  <pageMargins left="0.25" right="0.25"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ellIs" priority="24" operator="lessThan" id="{9441B145-6C21-434B-8881-0B0BEA391533}">
            <xm:f>'Source Unit Type Mix (6.3.4)'!$D$18</xm:f>
            <x14:dxf>
              <font>
                <color rgb="FF9C0006"/>
              </font>
              <fill>
                <patternFill>
                  <bgColor rgb="FFFFC7CE"/>
                </patternFill>
              </fill>
            </x14:dxf>
          </x14:cfRule>
          <xm:sqref>G9</xm:sqref>
        </x14:conditionalFormatting>
        <x14:conditionalFormatting xmlns:xm="http://schemas.microsoft.com/office/excel/2006/main">
          <x14:cfRule type="expression" priority="35" id="{00000000-000E-0000-0100-000008000000}">
            <xm:f>ROUND(Amount!$D$29,3)&lt;ROUND($F$12,3)</xm:f>
            <x14:dxf>
              <font>
                <color rgb="FF9C0006"/>
              </font>
              <fill>
                <patternFill>
                  <bgColor rgb="FFFFC7CE"/>
                </patternFill>
              </fill>
            </x14:dxf>
          </x14:cfRule>
          <xm:sqref>F12</xm:sqref>
        </x14:conditionalFormatting>
        <x14:conditionalFormatting xmlns:xm="http://schemas.microsoft.com/office/excel/2006/main">
          <x14:cfRule type="cellIs" priority="15" operator="lessThan" id="{FCF5E69D-0B77-4E65-8F30-68BE11D5A55A}">
            <xm:f>'Source Unit Type Mix (6.3.4)'!$D$14</xm:f>
            <x14:dxf>
              <font>
                <color rgb="FF9C0006"/>
              </font>
              <fill>
                <patternFill>
                  <bgColor rgb="FFFFC7CE"/>
                </patternFill>
              </fill>
            </x14:dxf>
          </x14:cfRule>
          <xm:sqref>G8</xm:sqref>
        </x14:conditionalFormatting>
        <x14:conditionalFormatting xmlns:xm="http://schemas.microsoft.com/office/excel/2006/main">
          <x14:cfRule type="cellIs" priority="4" operator="lessThan" id="{87F88ACA-D230-402F-8C3D-0541BB203A1F}">
            <xm:f>'Source Unit Type Mix (6.3.4)'!$D$24</xm:f>
            <x14:dxf>
              <font>
                <color rgb="FF9C0006"/>
              </font>
              <fill>
                <patternFill>
                  <bgColor rgb="FFFFC7CE"/>
                </patternFill>
              </fill>
            </x14:dxf>
          </x14:cfRule>
          <xm:sqref>G10</xm:sqref>
        </x14:conditionalFormatting>
        <x14:conditionalFormatting xmlns:xm="http://schemas.microsoft.com/office/excel/2006/main">
          <x14:cfRule type="cellIs" priority="3" operator="lessThan" id="{984DD5EA-85BB-4AC0-8FCA-1010589B8349}">
            <xm:f>'Source Unit Type Mix (6.3.4)'!$D$27</xm:f>
            <x14:dxf>
              <font>
                <color rgb="FF9C0006"/>
              </font>
              <fill>
                <patternFill>
                  <bgColor rgb="FFFFC7CE"/>
                </patternFill>
              </fill>
            </x14:dxf>
          </x14:cfRule>
          <xm:sqref>G11</xm:sqref>
        </x14:conditionalFormatting>
        <x14:conditionalFormatting xmlns:xm="http://schemas.microsoft.com/office/excel/2006/main">
          <x14:cfRule type="cellIs" priority="37" operator="lessThan" id="{00000000-000E-0000-0100-000003000000}">
            <xm:f>Method!#REF!</xm:f>
            <x14:dxf>
              <font>
                <color rgb="FF9C0006"/>
              </font>
              <fill>
                <patternFill>
                  <bgColor rgb="FFFFC7CE"/>
                </patternFill>
              </fill>
            </x14:dxf>
          </x14:cfRule>
          <x14:cfRule type="cellIs" priority="38" operator="greaterThan" id="{00000000-000E-0000-0100-000004000000}">
            <xm:f>Method!#REF!</xm:f>
            <x14:dxf>
              <font>
                <color rgb="FF9C0006"/>
              </font>
              <fill>
                <patternFill>
                  <bgColor rgb="FFFFC7CE"/>
                </patternFill>
              </fill>
            </x14:dxf>
          </x14:cfRule>
          <xm:sqref>G29:H32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C78B2-C346-4E56-9907-9D8210BA5C47}">
  <dimension ref="A1:E25"/>
  <sheetViews>
    <sheetView showGridLines="0" view="pageLayout" zoomScaleNormal="100" workbookViewId="0">
      <selection activeCell="A16" sqref="A16"/>
    </sheetView>
  </sheetViews>
  <sheetFormatPr defaultColWidth="9.109375" defaultRowHeight="14.4"/>
  <cols>
    <col min="1" max="1" width="25.5546875" style="137" customWidth="1"/>
    <col min="2" max="2" width="6.5546875" style="137" customWidth="1"/>
    <col min="3" max="3" width="18" style="137" customWidth="1"/>
    <col min="4" max="4" width="51.5546875" style="137" customWidth="1"/>
    <col min="5" max="5" width="9.33203125" style="137" hidden="1" customWidth="1"/>
    <col min="6" max="16384" width="9.109375" style="137"/>
  </cols>
  <sheetData>
    <row r="1" spans="1:5" ht="18">
      <c r="A1" s="135" t="str">
        <f>Amount!A1</f>
        <v>Housing Mitigation Plan</v>
      </c>
      <c r="B1" s="136"/>
      <c r="C1" s="136"/>
      <c r="D1" s="197" t="str">
        <f>Amount!H1</f>
        <v>updated 6/11/19</v>
      </c>
      <c r="E1" s="197"/>
    </row>
    <row r="2" spans="1:5">
      <c r="A2" s="138" t="s">
        <v>311</v>
      </c>
    </row>
    <row r="3" spans="1:5" s="138" customFormat="1" ht="12"/>
    <row r="4" spans="1:5" ht="18">
      <c r="A4" s="135" t="s">
        <v>301</v>
      </c>
      <c r="B4" s="136"/>
      <c r="C4" s="136"/>
      <c r="D4" s="136"/>
      <c r="E4" s="136"/>
    </row>
    <row r="5" spans="1:5">
      <c r="A5" s="137" t="s">
        <v>294</v>
      </c>
    </row>
    <row r="6" spans="1:5" ht="84.75" customHeight="1">
      <c r="A6" s="198" t="s">
        <v>312</v>
      </c>
      <c r="B6" s="198"/>
      <c r="C6" s="198"/>
      <c r="D6" s="198"/>
    </row>
    <row r="7" spans="1:5" s="138" customFormat="1" ht="12"/>
    <row r="8" spans="1:5">
      <c r="A8" s="142" t="s">
        <v>295</v>
      </c>
      <c r="B8" s="143" t="s">
        <v>173</v>
      </c>
      <c r="C8" s="142" t="s">
        <v>296</v>
      </c>
      <c r="D8" s="142" t="s">
        <v>300</v>
      </c>
    </row>
    <row r="9" spans="1:5">
      <c r="A9" s="177" t="str">
        <f t="array" ref="A9">IFERROR(INDEX('Unit Type'!A$36:A$59,SMALL(IF('Unit Type'!B$36:B$59&gt;0,ROW('Unit Type'!A$36:A$59)-ROW('Unit Type'!A$36)+1),ROWS('Unit Type'!A$36:'Unit Type'!A36))),"")</f>
        <v/>
      </c>
      <c r="B9" s="178" t="str">
        <f t="array" ref="B9">IFERROR(INDEX('Unit Type'!B$36:B$59,SMALL(IF('Unit Type'!B$36:B$59&gt;0,ROW('Unit Type'!A$36:A$59)-ROW('Unit Type'!A$36)+1),ROWS('Unit Type'!A$36:'Unit Type'!A36))),"")</f>
        <v/>
      </c>
      <c r="C9" s="179" t="str">
        <f>IF(B9="","",IF(B9&gt;=1,Dropdowns!C$31,Dropdowns!C$36))</f>
        <v/>
      </c>
      <c r="D9" s="155" t="str">
        <f>IF(OR(C9=Dropdowns!C$31,C9=Dropdowns!C$32),"please document compliance with Sec. 6.3.5.D.1",IF(C9=Dropdowns!C$33,"please document compliance with Sec. 6.3.5.C and 6.3.5.D.2",IF(C9=Dropdowns!C$34,"please document compliance with Sec. 6.3.5.C and 6.3.5.D.3",IF(C9=Dropdowns!C$35,"please document compliance with Sec. 6.3.5.C and 6.3.5.D.4",IF(C9=Dropdowns!C$36,"please document compliance with Sec. 6.3.5.C","")))))</f>
        <v/>
      </c>
      <c r="E9" s="137" t="str">
        <f>IFERROR(VLOOKUP(A9,'Source In-Lieu Fee (6.3.5.D.5)'!A$51:B$62,2,FALSE),"")</f>
        <v/>
      </c>
    </row>
    <row r="10" spans="1:5">
      <c r="A10" s="177" t="str">
        <f t="array" ref="A10">IFERROR(INDEX('Unit Type'!A$36:A$59,SMALL(IF('Unit Type'!B$36:B$59&gt;0,ROW('Unit Type'!A$36:A$59)-ROW('Unit Type'!A$36)+1),ROWS('Unit Type'!A$36:'Unit Type'!A37))),"")</f>
        <v/>
      </c>
      <c r="B10" s="178" t="str">
        <f t="array" ref="B10">IFERROR(INDEX('Unit Type'!B$36:B$59,SMALL(IF('Unit Type'!B$36:B$59&gt;0,ROW('Unit Type'!A$36:A$59)-ROW('Unit Type'!A$36)+1),ROWS('Unit Type'!A$36:'Unit Type'!A37))),"")</f>
        <v/>
      </c>
      <c r="C10" s="179" t="str">
        <f>IF(B10="","",IF(B10&gt;=1,Dropdowns!C$31,Dropdowns!C$36))</f>
        <v/>
      </c>
      <c r="D10" s="155" t="str">
        <f>IF(OR(C10=Dropdowns!C$31,C10=Dropdowns!C$32),"please document compliance with Sec. 6.3.5.D.1",IF(C10=Dropdowns!C$33,"please document compliance with Sec. 6.3.5.C and 6.3.5.D.2",IF(C10=Dropdowns!C$34,"please document compliance with Sec. 6.3.5.C and 6.3.5.D.3",IF(C10=Dropdowns!C$35,"please document compliance with Sec. 6.3.5.C and 6.3.5.D.4",IF(C10=Dropdowns!C$36,"please document compliance with Sec. 6.3.5.C","")))))</f>
        <v/>
      </c>
      <c r="E10" s="137" t="str">
        <f>IFERROR(VLOOKUP(A10,'Source In-Lieu Fee (6.3.5.D.5)'!A$51:B$62,2,FALSE),"")</f>
        <v/>
      </c>
    </row>
    <row r="11" spans="1:5">
      <c r="A11" s="177" t="str">
        <f t="array" ref="A11">IFERROR(INDEX('Unit Type'!A$36:A$59,SMALL(IF('Unit Type'!B$36:B$59&gt;0,ROW('Unit Type'!A$36:A$59)-ROW('Unit Type'!A$36)+1),ROWS('Unit Type'!A$36:'Unit Type'!A38))),"")</f>
        <v/>
      </c>
      <c r="B11" s="178" t="str">
        <f t="array" ref="B11">IFERROR(INDEX('Unit Type'!B$36:B$59,SMALL(IF('Unit Type'!B$36:B$59&gt;0,ROW('Unit Type'!A$36:A$59)-ROW('Unit Type'!A$36)+1),ROWS('Unit Type'!A$36:'Unit Type'!A38))),"")</f>
        <v/>
      </c>
      <c r="C11" s="179" t="str">
        <f>IF(B11="","",IF(B11&gt;=1,Dropdowns!C$31,Dropdowns!C$36))</f>
        <v/>
      </c>
      <c r="D11" s="155" t="str">
        <f>IF(OR(C11=Dropdowns!C$31,C11=Dropdowns!C$32),"please document compliance with Sec. 6.3.5.D.1",IF(C11=Dropdowns!C$33,"please document compliance with Sec. 6.3.5.C and 6.3.5.D.2",IF(C11=Dropdowns!C$34,"please document compliance with Sec. 6.3.5.C and 6.3.5.D.3",IF(C11=Dropdowns!C$35,"please document compliance with Sec. 6.3.5.C and 6.3.5.D.4",IF(C11=Dropdowns!C$36,"please document compliance with Sec. 6.3.5.C","")))))</f>
        <v/>
      </c>
      <c r="E11" s="137" t="str">
        <f>IFERROR(VLOOKUP(A11,'Source In-Lieu Fee (6.3.5.D.5)'!A$51:B$62,2,FALSE),"")</f>
        <v/>
      </c>
    </row>
    <row r="12" spans="1:5">
      <c r="A12" s="177" t="str">
        <f t="array" ref="A12">IFERROR(INDEX('Unit Type'!A$36:A$59,SMALL(IF('Unit Type'!B$36:B$59&gt;0,ROW('Unit Type'!A$36:A$59)-ROW('Unit Type'!A$36)+1),ROWS('Unit Type'!A$36:'Unit Type'!A39))),"")</f>
        <v/>
      </c>
      <c r="B12" s="178" t="str">
        <f t="array" ref="B12">IFERROR(INDEX('Unit Type'!B$36:B$59,SMALL(IF('Unit Type'!B$36:B$59&gt;0,ROW('Unit Type'!A$36:A$59)-ROW('Unit Type'!A$36)+1),ROWS('Unit Type'!A$36:'Unit Type'!A39))),"")</f>
        <v/>
      </c>
      <c r="C12" s="179" t="str">
        <f>IF(B12="","",IF(B12&gt;=1,Dropdowns!C$31,Dropdowns!C$36))</f>
        <v/>
      </c>
      <c r="D12" s="155" t="str">
        <f>IF(OR(C12=Dropdowns!C$31,C12=Dropdowns!C$32),"please document compliance with Sec. 6.3.5.D.1",IF(C12=Dropdowns!C$33,"please document compliance with Sec. 6.3.5.C and 6.3.5.D.2",IF(C12=Dropdowns!C$34,"please document compliance with Sec. 6.3.5.C and 6.3.5.D.3",IF(C12=Dropdowns!C$35,"please document compliance with Sec. 6.3.5.C and 6.3.5.D.4",IF(C12=Dropdowns!C$36,"please document compliance with Sec. 6.3.5.C","")))))</f>
        <v/>
      </c>
      <c r="E12" s="137" t="str">
        <f>IFERROR(VLOOKUP(A12,'Source In-Lieu Fee (6.3.5.D.5)'!A$51:B$62,2,FALSE),"")</f>
        <v/>
      </c>
    </row>
    <row r="13" spans="1:5">
      <c r="A13" s="177" t="str">
        <f t="array" ref="A13">IFERROR(INDEX('Unit Type'!A$36:A$59,SMALL(IF('Unit Type'!B$36:B$59&gt;0,ROW('Unit Type'!A$36:A$59)-ROW('Unit Type'!A$36)+1),ROWS('Unit Type'!A$36:'Unit Type'!A40))),"")</f>
        <v/>
      </c>
      <c r="B13" s="178" t="str">
        <f t="array" ref="B13">IFERROR(INDEX('Unit Type'!B$36:B$59,SMALL(IF('Unit Type'!B$36:B$59&gt;0,ROW('Unit Type'!A$36:A$59)-ROW('Unit Type'!A$36)+1),ROWS('Unit Type'!A$36:'Unit Type'!A40))),"")</f>
        <v/>
      </c>
      <c r="C13" s="179" t="str">
        <f>IF(B13="","",IF(B13&gt;=1,Dropdowns!C$31,Dropdowns!C$36))</f>
        <v/>
      </c>
      <c r="D13" s="155" t="str">
        <f>IF(OR(C13=Dropdowns!C$31,C13=Dropdowns!C$32),"please document compliance with Sec. 6.3.5.D.1",IF(C13=Dropdowns!C$33,"please document compliance with Sec. 6.3.5.C and 6.3.5.D.2",IF(C13=Dropdowns!C$34,"please document compliance with Sec. 6.3.5.C and 6.3.5.D.3",IF(C13=Dropdowns!C$35,"please document compliance with Sec. 6.3.5.C and 6.3.5.D.4",IF(C13=Dropdowns!C$36,"please document compliance with Sec. 6.3.5.C","")))))</f>
        <v/>
      </c>
      <c r="E13" s="137" t="str">
        <f>IFERROR(VLOOKUP(A13,'Source In-Lieu Fee (6.3.5.D.5)'!A$51:B$62,2,FALSE),"")</f>
        <v/>
      </c>
    </row>
    <row r="14" spans="1:5">
      <c r="A14" s="177" t="str">
        <f t="array" ref="A14">IFERROR(INDEX('Unit Type'!A$36:A$59,SMALL(IF('Unit Type'!B$36:B$59&gt;0,ROW('Unit Type'!A$36:A$59)-ROW('Unit Type'!A$36)+1),ROWS('Unit Type'!A$36:'Unit Type'!A41))),"")</f>
        <v/>
      </c>
      <c r="B14" s="178" t="str">
        <f t="array" ref="B14">IFERROR(INDEX('Unit Type'!B$36:B$59,SMALL(IF('Unit Type'!B$36:B$59&gt;0,ROW('Unit Type'!A$36:A$59)-ROW('Unit Type'!A$36)+1),ROWS('Unit Type'!A$36:'Unit Type'!A41))),"")</f>
        <v/>
      </c>
      <c r="C14" s="179" t="str">
        <f>IF(B14="","",IF(B14&gt;=1,Dropdowns!C$31,Dropdowns!C$36))</f>
        <v/>
      </c>
      <c r="D14" s="155" t="str">
        <f>IF(OR(C14=Dropdowns!C$31,C14=Dropdowns!C$32),"please document compliance with Sec. 6.3.5.D.1",IF(C14=Dropdowns!C$33,"please document compliance with Sec. 6.3.5.C and 6.3.5.D.2",IF(C14=Dropdowns!C$34,"please document compliance with Sec. 6.3.5.C and 6.3.5.D.3",IF(C14=Dropdowns!C$35,"please document compliance with Sec. 6.3.5.C and 6.3.5.D.4",IF(C14=Dropdowns!C$36,"please document compliance with Sec. 6.3.5.C","")))))</f>
        <v/>
      </c>
      <c r="E14" s="137" t="str">
        <f>IFERROR(VLOOKUP(A14,'Source In-Lieu Fee (6.3.5.D.5)'!A$51:B$62,2,FALSE),"")</f>
        <v/>
      </c>
    </row>
    <row r="15" spans="1:5">
      <c r="A15" s="177" t="str">
        <f t="array" ref="A15">IFERROR(INDEX('Unit Type'!A$36:A$59,SMALL(IF('Unit Type'!B$36:B$59&gt;0,ROW('Unit Type'!A$36:A$59)-ROW('Unit Type'!A$36)+1),ROWS('Unit Type'!A$36:'Unit Type'!A42))),"")</f>
        <v/>
      </c>
      <c r="B15" s="178" t="str">
        <f t="array" ref="B15">IFERROR(INDEX('Unit Type'!B$36:B$59,SMALL(IF('Unit Type'!B$36:B$59&gt;0,ROW('Unit Type'!A$36:A$59)-ROW('Unit Type'!A$36)+1),ROWS('Unit Type'!A$36:'Unit Type'!A42))),"")</f>
        <v/>
      </c>
      <c r="C15" s="179" t="str">
        <f>IF(B15="","",IF(B15&gt;=1,Dropdowns!C$31,Dropdowns!C$36))</f>
        <v/>
      </c>
      <c r="D15" s="155" t="str">
        <f>IF(OR(C15=Dropdowns!C$31,C15=Dropdowns!C$32),"please document compliance with Sec. 6.3.5.D.1",IF(C15=Dropdowns!C$33,"please document compliance with Sec. 6.3.5.C and 6.3.5.D.2",IF(C15=Dropdowns!C$34,"please document compliance with Sec. 6.3.5.C and 6.3.5.D.3",IF(C15=Dropdowns!C$35,"please document compliance with Sec. 6.3.5.C and 6.3.5.D.4",IF(C15=Dropdowns!C$36,"please document compliance with Sec. 6.3.5.C","")))))</f>
        <v/>
      </c>
      <c r="E15" s="137" t="str">
        <f>IFERROR(VLOOKUP(A15,'Source In-Lieu Fee (6.3.5.D.5)'!A$51:B$62,2,FALSE),"")</f>
        <v/>
      </c>
    </row>
    <row r="16" spans="1:5">
      <c r="A16" s="177" t="str">
        <f t="array" ref="A16">IFERROR(INDEX('Unit Type'!A$36:A$59,SMALL(IF('Unit Type'!B$36:B$59&gt;0,ROW('Unit Type'!A$36:A$59)-ROW('Unit Type'!A$36)+1),ROWS('Unit Type'!A$36:'Unit Type'!A43))),"")</f>
        <v/>
      </c>
      <c r="B16" s="178" t="str">
        <f t="array" ref="B16">IFERROR(INDEX('Unit Type'!B$36:B$59,SMALL(IF('Unit Type'!B$36:B$59&gt;0,ROW('Unit Type'!A$36:A$59)-ROW('Unit Type'!A$36)+1),ROWS('Unit Type'!A$36:'Unit Type'!A43))),"")</f>
        <v/>
      </c>
      <c r="C16" s="179" t="str">
        <f>IF(B16="","",IF(B16&gt;=1,Dropdowns!C$31,Dropdowns!C$36))</f>
        <v/>
      </c>
      <c r="D16" s="155" t="str">
        <f>IF(OR(C16=Dropdowns!C$31,C16=Dropdowns!C$32),"please document compliance with Sec. 6.3.5.D.1",IF(C16=Dropdowns!C$33,"please document compliance with Sec. 6.3.5.C and 6.3.5.D.2",IF(C16=Dropdowns!C$34,"please document compliance with Sec. 6.3.5.C and 6.3.5.D.3",IF(C16=Dropdowns!C$35,"please document compliance with Sec. 6.3.5.C and 6.3.5.D.4",IF(C16=Dropdowns!C$36,"please document compliance with Sec. 6.3.5.C","")))))</f>
        <v/>
      </c>
      <c r="E16" s="137" t="str">
        <f>IFERROR(VLOOKUP(A16,'Source In-Lieu Fee (6.3.5.D.5)'!A$51:B$62,2,FALSE),"")</f>
        <v/>
      </c>
    </row>
    <row r="17" spans="1:5">
      <c r="A17" s="177" t="str">
        <f t="array" ref="A17">IFERROR(INDEX('Unit Type'!A$36:A$59,SMALL(IF('Unit Type'!B$36:B$59&gt;0,ROW('Unit Type'!A$36:A$59)-ROW('Unit Type'!A$36)+1),ROWS('Unit Type'!A$36:'Unit Type'!A44))),"")</f>
        <v/>
      </c>
      <c r="B17" s="178" t="str">
        <f t="array" ref="B17">IFERROR(INDEX('Unit Type'!B$36:B$59,SMALL(IF('Unit Type'!B$36:B$59&gt;0,ROW('Unit Type'!A$36:A$59)-ROW('Unit Type'!A$36)+1),ROWS('Unit Type'!A$36:'Unit Type'!A44))),"")</f>
        <v/>
      </c>
      <c r="C17" s="179" t="str">
        <f>IF(B17="","",IF(B17&gt;=1,Dropdowns!C$31,Dropdowns!C$36))</f>
        <v/>
      </c>
      <c r="D17" s="155" t="str">
        <f>IF(OR(C17=Dropdowns!C$31,C17=Dropdowns!C$32),"please document compliance with Sec. 6.3.5.D.1",IF(C17=Dropdowns!C$33,"please document compliance with Sec. 6.3.5.C and 6.3.5.D.2",IF(C17=Dropdowns!C$34,"please document compliance with Sec. 6.3.5.C and 6.3.5.D.3",IF(C17=Dropdowns!C$35,"please document compliance with Sec. 6.3.5.C and 6.3.5.D.4",IF(C17=Dropdowns!C$36,"please document compliance with Sec. 6.3.5.C","")))))</f>
        <v/>
      </c>
      <c r="E17" s="137" t="str">
        <f>IFERROR(VLOOKUP(A17,'Source In-Lieu Fee (6.3.5.D.5)'!A$51:B$62,2,FALSE),"")</f>
        <v/>
      </c>
    </row>
    <row r="18" spans="1:5">
      <c r="A18" s="177" t="str">
        <f t="array" ref="A18">IFERROR(INDEX('Unit Type'!A$36:A$59,SMALL(IF('Unit Type'!B$36:B$59&gt;0,ROW('Unit Type'!A$36:A$59)-ROW('Unit Type'!A$36)+1),ROWS('Unit Type'!A$36:'Unit Type'!A45))),"")</f>
        <v/>
      </c>
      <c r="B18" s="178" t="str">
        <f t="array" ref="B18">IFERROR(INDEX('Unit Type'!B$36:B$59,SMALL(IF('Unit Type'!B$36:B$59&gt;0,ROW('Unit Type'!A$36:A$59)-ROW('Unit Type'!A$36)+1),ROWS('Unit Type'!A$36:'Unit Type'!A45))),"")</f>
        <v/>
      </c>
      <c r="C18" s="179" t="str">
        <f>IF(B18="","",IF(B18&gt;=1,Dropdowns!C$31,Dropdowns!C$36))</f>
        <v/>
      </c>
      <c r="D18" s="155"/>
    </row>
    <row r="19" spans="1:5">
      <c r="A19" s="177" t="str">
        <f t="array" ref="A19">IFERROR(INDEX('Unit Type'!A$36:A$59,SMALL(IF('Unit Type'!B$36:B$59&gt;0,ROW('Unit Type'!A$36:A$59)-ROW('Unit Type'!A$36)+1),ROWS('Unit Type'!A$36:'Unit Type'!A45))),"")</f>
        <v/>
      </c>
      <c r="B19" s="178" t="str">
        <f t="array" ref="B19">IFERROR(INDEX('Unit Type'!B$36:B$59,SMALL(IF('Unit Type'!B$36:B$59&gt;0,ROW('Unit Type'!A$36:A$59)-ROW('Unit Type'!A$36)+1),ROWS('Unit Type'!A$36:'Unit Type'!A45))),"")</f>
        <v/>
      </c>
      <c r="C19" s="179" t="str">
        <f>IF(B19="","",IF(B19&gt;=1,Dropdowns!C$31,Dropdowns!C$36))</f>
        <v/>
      </c>
      <c r="D19" s="155" t="str">
        <f>IF(OR(C19=Dropdowns!C$31,C19=Dropdowns!C$32),"please document compliance with Sec. 6.3.5.D.1",IF(C19=Dropdowns!C$33,"please document compliance with Sec. 6.3.5.C and 6.3.5.D.2",IF(C19=Dropdowns!C$34,"please document compliance with Sec. 6.3.5.C and 6.3.5.D.3",IF(C19=Dropdowns!C$35,"please document compliance with Sec. 6.3.5.C and 6.3.5.D.4",IF(C19=Dropdowns!C$36,"please document compliance with Sec. 6.3.5.C","")))))</f>
        <v/>
      </c>
      <c r="E19" s="137" t="str">
        <f>IFERROR(VLOOKUP(A19,'Source In-Lieu Fee (6.3.5.D.5)'!A$51:B$62,2,FALSE),"")</f>
        <v/>
      </c>
    </row>
    <row r="20" spans="1:5">
      <c r="A20" s="177" t="str">
        <f t="array" ref="A20">IFERROR(INDEX('Unit Type'!A$36:A$59,SMALL(IF('Unit Type'!B$36:B$59&gt;0,ROW('Unit Type'!A$36:A$59)-ROW('Unit Type'!A$36)+1),ROWS('Unit Type'!A$36:'Unit Type'!A46))),"")</f>
        <v/>
      </c>
      <c r="B20" s="178" t="str">
        <f t="array" ref="B20">IFERROR(INDEX('Unit Type'!B$36:B$59,SMALL(IF('Unit Type'!B$36:B$59&gt;0,ROW('Unit Type'!A$36:A$59)-ROW('Unit Type'!A$36)+1),ROWS('Unit Type'!A$36:'Unit Type'!A46))),"")</f>
        <v/>
      </c>
      <c r="C20" s="179" t="str">
        <f>IF(B20="","",IF(B20&gt;=1,Dropdowns!C$31,Dropdowns!C$36))</f>
        <v/>
      </c>
      <c r="D20" s="155" t="str">
        <f>IF(OR(C20=Dropdowns!C$31,C20=Dropdowns!C$32),"please document compliance with Sec. 6.3.5.D.1",IF(C20=Dropdowns!C$33,"please document compliance with Sec. 6.3.5.C and 6.3.5.D.2",IF(C20=Dropdowns!C$34,"please document compliance with Sec. 6.3.5.C and 6.3.5.D.3",IF(C20=Dropdowns!C$35,"please document compliance with Sec. 6.3.5.C and 6.3.5.D.4",IF(C20=Dropdowns!C$36,"please document compliance with Sec. 6.3.5.C","")))))</f>
        <v/>
      </c>
      <c r="E20" s="137" t="str">
        <f>IFERROR(VLOOKUP(A20,'Source In-Lieu Fee (6.3.5.D.5)'!A$51:B$62,2,FALSE),"")</f>
        <v/>
      </c>
    </row>
    <row r="21" spans="1:5">
      <c r="A21" s="180" t="str">
        <f t="array" ref="A21">IFERROR(INDEX('Unit Type'!A$36:A$59,SMALL(IF('Unit Type'!B$36:B$59&gt;0,ROW('Unit Type'!A$36:A$59)-ROW('Unit Type'!A$36)+1),ROWS('Unit Type'!A$36:'Unit Type'!A47))),"")</f>
        <v/>
      </c>
      <c r="B21" s="178" t="str">
        <f t="array" ref="B21">IFERROR(INDEX('Unit Type'!B$36:B$59,SMALL(IF('Unit Type'!B$36:B$59&gt;0,ROW('Unit Type'!A$36:A$59)-ROW('Unit Type'!A$36)+1),ROWS('Unit Type'!A$36:'Unit Type'!A47))),"")</f>
        <v/>
      </c>
      <c r="C21" s="181" t="str">
        <f>IF(B21="","",IF(B21&gt;=1,Dropdowns!C$31,Dropdowns!C$36))</f>
        <v/>
      </c>
      <c r="D21" s="157" t="str">
        <f>IF(OR(C21=Dropdowns!C$31,C21=Dropdowns!C$32),"please document compliance with Sec. 6.3.5.D.1",IF(C21=Dropdowns!C$33,"please document compliance with Sec. 6.3.5.C and 6.3.5.D.2",IF(C21=Dropdowns!C$34,"please document compliance with Sec. 6.3.5.C and 6.3.5.D.3",IF(C21=Dropdowns!C$35,"please document compliance with Sec. 6.3.5.C and 6.3.5.D.4",IF(C21=Dropdowns!C$36,"please document compliance with Sec. 6.3.5.C","")))))</f>
        <v/>
      </c>
      <c r="E21" s="137" t="str">
        <f>IFERROR(VLOOKUP(A21,'Source In-Lieu Fee (6.3.5.D.5)'!A$51:B$62,2,FALSE),"")</f>
        <v/>
      </c>
    </row>
    <row r="22" spans="1:5">
      <c r="A22" s="172" t="s">
        <v>304</v>
      </c>
      <c r="B22" s="173">
        <f>SUM(B9:B21)</f>
        <v>0</v>
      </c>
      <c r="C22" s="174" t="s">
        <v>305</v>
      </c>
      <c r="D22" s="175">
        <f>SUMPRODUCT(B9:B21,E9:E21,--(C9:C21=Dropdowns!C36))</f>
        <v>0</v>
      </c>
    </row>
    <row r="23" spans="1:5" s="138" customFormat="1" ht="12">
      <c r="A23" s="176"/>
    </row>
    <row r="24" spans="1:5">
      <c r="A24" s="137" t="s">
        <v>308</v>
      </c>
    </row>
    <row r="25" spans="1:5" ht="36.75" customHeight="1">
      <c r="A25" s="198" t="s">
        <v>309</v>
      </c>
      <c r="B25" s="198"/>
      <c r="C25" s="198"/>
      <c r="D25" s="198"/>
    </row>
  </sheetData>
  <sheetProtection sheet="1" objects="1" scenarios="1" selectLockedCells="1"/>
  <mergeCells count="3">
    <mergeCell ref="D1:E1"/>
    <mergeCell ref="A25:D25"/>
    <mergeCell ref="A6:D6"/>
  </mergeCells>
  <phoneticPr fontId="25" type="noConversion"/>
  <pageMargins left="0.25" right="0.25"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D212485E-382C-4496-8BA5-603B103C2215}">
            <xm:f>SUMIFS($B$9:$B$21,$A$9:$A$21,A10)&lt;SUMIFS('Unit Type'!$B$36:$B$59,'Unit Type'!$A$36:$A$59,A10)</xm:f>
            <x14:dxf>
              <font>
                <color rgb="FF9C0006"/>
              </font>
              <fill>
                <patternFill>
                  <bgColor rgb="FFFFC7CE"/>
                </patternFill>
              </fill>
            </x14:dxf>
          </x14:cfRule>
          <xm:sqref>B10:B21</xm:sqref>
        </x14:conditionalFormatting>
        <x14:conditionalFormatting xmlns:xm="http://schemas.microsoft.com/office/excel/2006/main">
          <x14:cfRule type="expression" priority="2" id="{956BB62C-D87F-4695-BC66-33B6682D326C}">
            <xm:f>$B$22&lt;SUM('Unit Type'!$B$23:$D$26)</xm:f>
            <x14:dxf>
              <font>
                <color rgb="FF9C0006"/>
              </font>
              <fill>
                <patternFill>
                  <bgColor rgb="FFFFC7CE"/>
                </patternFill>
              </fill>
            </x14:dxf>
          </x14:cfRule>
          <xm:sqref>B22</xm:sqref>
        </x14:conditionalFormatting>
        <x14:conditionalFormatting xmlns:xm="http://schemas.microsoft.com/office/excel/2006/main">
          <x14:cfRule type="expression" priority="1" id="{F7B874C0-402E-4EB9-B05A-9368D25370C9}">
            <xm:f>SUMIFS($B$9:$B$21,$A$9:$A$21,A9)&lt;SUMIFS('Unit Type'!$B$36:$B$59,'Unit Type'!$A$36:$A$59,A9)</xm:f>
            <x14:dxf>
              <font>
                <color rgb="FF9C0006"/>
              </font>
              <fill>
                <patternFill>
                  <bgColor rgb="FFFFC7CE"/>
                </patternFill>
              </fill>
            </x14:dxf>
          </x14:cfRule>
          <xm:sqref>B9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ADF12DB-564D-4F88-BE18-E84D78877211}">
          <x14:formula1>
            <xm:f>Dropdowns!$C$17:$C$29</xm:f>
          </x14:formula1>
          <xm:sqref>A9:A21</xm:sqref>
        </x14:dataValidation>
        <x14:dataValidation type="list" allowBlank="1" showInputMessage="1" showErrorMessage="1" xr:uid="{D6E5053E-E0EB-49B9-B883-9218F6F9D260}">
          <x14:formula1>
            <xm:f>Dropdowns!$C$31:$C$37</xm:f>
          </x14:formula1>
          <xm:sqref>C9:C21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C03C-72AF-4CE6-94F1-81DA4FE55C70}">
  <dimension ref="A1:Q50"/>
  <sheetViews>
    <sheetView view="pageLayout" zoomScaleNormal="100" workbookViewId="0">
      <selection activeCell="K22" sqref="K22"/>
    </sheetView>
  </sheetViews>
  <sheetFormatPr defaultRowHeight="14.4"/>
  <cols>
    <col min="1" max="1" width="3.33203125" customWidth="1"/>
    <col min="2" max="2" width="33.6640625" customWidth="1"/>
    <col min="3" max="4" width="8.33203125" customWidth="1"/>
    <col min="5" max="5" width="10.5546875" customWidth="1"/>
    <col min="6" max="6" width="8.33203125" customWidth="1"/>
    <col min="7" max="7" width="8.88671875" customWidth="1"/>
    <col min="8" max="8" width="10.5546875" customWidth="1"/>
    <col min="9" max="9" width="7.6640625" customWidth="1"/>
    <col min="10" max="10" width="10.109375" customWidth="1"/>
    <col min="11" max="11" width="21" customWidth="1"/>
    <col min="12" max="12" width="13" customWidth="1"/>
    <col min="13" max="16" width="11" customWidth="1"/>
    <col min="17" max="18" width="13" customWidth="1"/>
    <col min="19" max="22" width="11" customWidth="1"/>
    <col min="23" max="24" width="13" customWidth="1"/>
    <col min="25" max="25" width="12.5546875" customWidth="1"/>
    <col min="26" max="26" width="8.88671875" customWidth="1"/>
    <col min="27" max="27" width="13.88671875" customWidth="1"/>
  </cols>
  <sheetData>
    <row r="1" spans="1:11" ht="18">
      <c r="A1" s="43" t="s">
        <v>257</v>
      </c>
      <c r="B1" s="44"/>
      <c r="C1" s="44"/>
      <c r="D1" s="44"/>
      <c r="E1" s="44"/>
      <c r="F1" s="44"/>
      <c r="G1" s="44"/>
      <c r="H1" s="44"/>
      <c r="I1" s="44"/>
      <c r="J1" s="44"/>
      <c r="K1" s="44"/>
    </row>
    <row r="2" spans="1:11">
      <c r="A2" s="92"/>
      <c r="B2" s="92"/>
      <c r="C2" s="91"/>
      <c r="D2" s="91"/>
      <c r="E2" s="91"/>
      <c r="F2" s="91"/>
      <c r="G2" s="91"/>
      <c r="H2" s="91"/>
      <c r="I2" s="91"/>
      <c r="J2" s="91"/>
      <c r="K2" s="91"/>
    </row>
    <row r="3" spans="1:11">
      <c r="A3" s="92" t="s">
        <v>38</v>
      </c>
      <c r="B3" s="92"/>
      <c r="C3" s="91"/>
      <c r="D3" s="91"/>
      <c r="E3" s="91"/>
      <c r="F3" s="91"/>
      <c r="G3" s="91"/>
      <c r="H3" s="91"/>
      <c r="I3" s="91"/>
      <c r="J3" s="91"/>
      <c r="K3" s="91"/>
    </row>
    <row r="4" spans="1:11">
      <c r="A4" s="92"/>
      <c r="B4" t="s">
        <v>38</v>
      </c>
      <c r="C4" s="95"/>
      <c r="D4" s="91"/>
      <c r="E4" s="91"/>
      <c r="F4" s="91"/>
      <c r="G4" s="91"/>
      <c r="H4" s="91"/>
      <c r="I4" s="91"/>
      <c r="J4" s="91"/>
      <c r="K4" s="91"/>
    </row>
    <row r="5" spans="1:11">
      <c r="A5" s="92"/>
      <c r="B5" s="92" t="s">
        <v>265</v>
      </c>
      <c r="C5" s="95"/>
      <c r="D5" s="91"/>
      <c r="E5" s="91"/>
      <c r="F5" s="91"/>
      <c r="G5" s="91"/>
      <c r="H5" s="91"/>
      <c r="I5" s="91"/>
      <c r="J5" s="91"/>
      <c r="K5" s="91"/>
    </row>
    <row r="6" spans="1:11">
      <c r="A6" s="92" t="s">
        <v>259</v>
      </c>
      <c r="B6" s="92"/>
      <c r="C6" s="91"/>
      <c r="D6" s="91"/>
      <c r="E6" s="91"/>
      <c r="F6" s="91"/>
      <c r="G6" s="91"/>
      <c r="H6" s="91"/>
      <c r="I6" s="91"/>
      <c r="J6" s="91"/>
      <c r="K6" s="91"/>
    </row>
    <row r="7" spans="1:11">
      <c r="A7" s="223" t="s">
        <v>271</v>
      </c>
      <c r="B7" s="223"/>
      <c r="C7" s="223"/>
      <c r="D7" s="223"/>
      <c r="E7" s="223"/>
      <c r="F7" s="223"/>
      <c r="G7" s="223"/>
      <c r="H7" s="223"/>
      <c r="I7" s="223"/>
      <c r="J7" s="91"/>
      <c r="K7" s="91"/>
    </row>
    <row r="8" spans="1:11">
      <c r="A8" s="92"/>
      <c r="B8" s="95"/>
      <c r="D8" s="91"/>
      <c r="E8" s="91"/>
      <c r="F8" s="91"/>
      <c r="G8" s="91"/>
      <c r="H8" s="91"/>
      <c r="I8" s="91"/>
      <c r="J8" s="91"/>
      <c r="K8" s="91"/>
    </row>
    <row r="9" spans="1:11">
      <c r="A9" s="92" t="s">
        <v>260</v>
      </c>
      <c r="B9" s="92"/>
      <c r="C9" s="91"/>
      <c r="D9" s="91"/>
      <c r="E9" s="91"/>
      <c r="F9" s="91"/>
      <c r="G9" s="91"/>
      <c r="H9" s="91"/>
      <c r="I9" s="91"/>
      <c r="J9" s="91"/>
      <c r="K9" s="91"/>
    </row>
    <row r="10" spans="1:11">
      <c r="A10" s="92"/>
      <c r="B10" s="92"/>
      <c r="C10" s="91"/>
      <c r="D10" s="91"/>
      <c r="E10" s="91"/>
      <c r="F10" s="91"/>
      <c r="G10" s="91"/>
      <c r="H10" s="91"/>
      <c r="I10" s="91"/>
      <c r="J10" s="91"/>
      <c r="K10" s="91"/>
    </row>
    <row r="11" spans="1:11">
      <c r="A11" s="92"/>
      <c r="B11" s="92" t="s">
        <v>261</v>
      </c>
      <c r="C11" s="91" t="s">
        <v>262</v>
      </c>
      <c r="D11" s="91" t="s">
        <v>263</v>
      </c>
      <c r="E11" s="94" t="s">
        <v>264</v>
      </c>
      <c r="F11" s="91"/>
      <c r="G11" s="91"/>
      <c r="H11" s="91"/>
      <c r="I11" s="91"/>
      <c r="J11" s="91"/>
      <c r="K11" s="91"/>
    </row>
    <row r="12" spans="1:11">
      <c r="A12" s="92"/>
      <c r="B12" s="92"/>
      <c r="C12" s="91"/>
      <c r="D12" s="91"/>
      <c r="E12" s="91"/>
      <c r="F12" s="91"/>
      <c r="G12" s="91"/>
      <c r="H12" s="91"/>
      <c r="I12" s="91"/>
      <c r="J12" s="91"/>
      <c r="K12" s="91"/>
    </row>
    <row r="13" spans="1:11">
      <c r="A13" s="92"/>
      <c r="B13" s="92"/>
      <c r="C13" s="91"/>
      <c r="D13" s="91"/>
      <c r="E13" s="91"/>
      <c r="F13" s="91"/>
      <c r="G13" s="91"/>
      <c r="H13" s="91"/>
      <c r="I13" s="91"/>
      <c r="J13" s="91"/>
      <c r="K13" s="91"/>
    </row>
    <row r="14" spans="1:11">
      <c r="A14" s="92"/>
      <c r="B14" s="92"/>
      <c r="C14" s="91"/>
      <c r="D14" s="91"/>
      <c r="E14" s="91"/>
      <c r="F14" s="91"/>
      <c r="G14" s="91"/>
      <c r="H14" s="91"/>
      <c r="I14" s="91"/>
      <c r="J14" s="91"/>
      <c r="K14" s="91"/>
    </row>
    <row r="15" spans="1:11">
      <c r="A15" s="92"/>
      <c r="B15" s="92"/>
      <c r="C15" s="91"/>
      <c r="D15" s="91"/>
      <c r="E15" s="91"/>
      <c r="F15" s="91"/>
      <c r="G15" s="91"/>
      <c r="H15" s="91"/>
      <c r="I15" s="91"/>
      <c r="J15" s="91"/>
      <c r="K15" s="91"/>
    </row>
    <row r="16" spans="1:11">
      <c r="A16" s="92"/>
      <c r="B16" s="92"/>
      <c r="C16" s="91"/>
      <c r="D16" s="91"/>
      <c r="E16" s="91"/>
      <c r="F16" s="91"/>
      <c r="G16" s="91"/>
      <c r="H16" s="91"/>
      <c r="I16" s="91"/>
      <c r="J16" s="91"/>
      <c r="K16" s="91"/>
    </row>
    <row r="17" spans="1:12">
      <c r="A17" s="93"/>
      <c r="B17" s="93"/>
      <c r="K17" s="62" t="s">
        <v>258</v>
      </c>
    </row>
    <row r="18" spans="1:12" ht="27.6">
      <c r="A18" s="62"/>
      <c r="B18" s="69"/>
      <c r="C18" s="62" t="s">
        <v>7</v>
      </c>
      <c r="D18" s="62" t="s">
        <v>8</v>
      </c>
      <c r="E18" s="69" t="s">
        <v>256</v>
      </c>
      <c r="F18" s="69" t="s">
        <v>183</v>
      </c>
      <c r="G18" s="62" t="s">
        <v>60</v>
      </c>
      <c r="H18" s="62" t="s">
        <v>59</v>
      </c>
      <c r="I18" s="62" t="s">
        <v>61</v>
      </c>
      <c r="J18" s="62" t="s">
        <v>91</v>
      </c>
      <c r="K18" s="78"/>
    </row>
    <row r="19" spans="1:12">
      <c r="A19" s="62" t="s">
        <v>58</v>
      </c>
      <c r="B19" s="69"/>
      <c r="C19" s="62"/>
      <c r="D19" s="62"/>
      <c r="E19" s="62"/>
      <c r="F19" s="62"/>
      <c r="G19" s="62"/>
      <c r="H19" s="62"/>
      <c r="I19" s="62"/>
      <c r="J19" s="62"/>
      <c r="K19" s="62"/>
    </row>
    <row r="20" spans="1:12">
      <c r="A20" s="62"/>
      <c r="B20" s="69" t="s">
        <v>67</v>
      </c>
      <c r="C20" s="62">
        <v>1.234</v>
      </c>
      <c r="D20" s="62">
        <v>1.234</v>
      </c>
      <c r="E20" s="62">
        <v>1.234</v>
      </c>
      <c r="F20" s="62">
        <v>0.51400000000000001</v>
      </c>
      <c r="G20" s="62">
        <v>0.51400000000000001</v>
      </c>
      <c r="H20" s="62">
        <v>0.92700000000000005</v>
      </c>
      <c r="I20" s="62">
        <v>1.234</v>
      </c>
      <c r="J20" s="62">
        <v>1.234</v>
      </c>
      <c r="K20" s="62"/>
    </row>
    <row r="21" spans="1:12">
      <c r="A21" s="62"/>
      <c r="B21" s="69" t="s">
        <v>68</v>
      </c>
      <c r="C21" s="62"/>
      <c r="D21" s="62"/>
      <c r="E21" s="62"/>
      <c r="F21" s="62"/>
      <c r="G21" s="62"/>
      <c r="H21" s="62"/>
      <c r="I21" s="62">
        <v>900</v>
      </c>
      <c r="J21" s="62"/>
      <c r="K21" s="62"/>
    </row>
    <row r="22" spans="1:12">
      <c r="A22" s="62"/>
      <c r="B22" s="69" t="s">
        <v>66</v>
      </c>
      <c r="C22" s="62">
        <v>30</v>
      </c>
      <c r="D22" s="62">
        <v>30</v>
      </c>
      <c r="E22" s="62">
        <v>30</v>
      </c>
      <c r="F22" s="62">
        <v>30</v>
      </c>
      <c r="G22" s="62">
        <v>30</v>
      </c>
      <c r="H22" s="62">
        <v>30</v>
      </c>
      <c r="I22" s="62">
        <v>30</v>
      </c>
      <c r="J22" s="62">
        <v>30</v>
      </c>
      <c r="K22" s="62"/>
    </row>
    <row r="23" spans="1:12" ht="12.75" customHeight="1">
      <c r="A23" s="62"/>
      <c r="B23" s="69" t="s">
        <v>64</v>
      </c>
      <c r="C23" s="70">
        <f t="shared" ref="C23:H23" si="0">C20/C22</f>
        <v>4.1133333333333334E-2</v>
      </c>
      <c r="D23" s="70">
        <f t="shared" si="0"/>
        <v>4.1133333333333334E-2</v>
      </c>
      <c r="E23" s="70">
        <f t="shared" si="0"/>
        <v>4.1133333333333334E-2</v>
      </c>
      <c r="F23" s="70">
        <f t="shared" si="0"/>
        <v>1.7133333333333334E-2</v>
      </c>
      <c r="G23" s="70">
        <f t="shared" si="0"/>
        <v>1.7133333333333334E-2</v>
      </c>
      <c r="H23" s="70">
        <f t="shared" si="0"/>
        <v>3.09E-2</v>
      </c>
      <c r="I23" s="70">
        <f>I20/I22*I21/1000</f>
        <v>3.7020000000000004E-2</v>
      </c>
      <c r="J23" s="70">
        <f>J20/J22</f>
        <v>4.1133333333333334E-2</v>
      </c>
      <c r="K23" s="62"/>
      <c r="L23" s="7"/>
    </row>
    <row r="24" spans="1:12" ht="14.25" customHeight="1">
      <c r="A24" s="62"/>
      <c r="B24" s="69" t="s">
        <v>62</v>
      </c>
      <c r="C24" s="62">
        <v>1.774</v>
      </c>
      <c r="D24" s="62">
        <v>1.774</v>
      </c>
      <c r="E24" s="62">
        <v>1.774</v>
      </c>
      <c r="F24" s="62">
        <v>1.774</v>
      </c>
      <c r="G24" s="62">
        <v>1.774</v>
      </c>
      <c r="H24" s="62">
        <v>1.774</v>
      </c>
      <c r="I24" s="62">
        <v>1.774</v>
      </c>
      <c r="J24" s="62">
        <v>1.774</v>
      </c>
      <c r="K24" s="62"/>
    </row>
    <row r="25" spans="1:12" ht="14.25" customHeight="1">
      <c r="A25" s="62"/>
      <c r="B25" s="69" t="s">
        <v>76</v>
      </c>
      <c r="C25" s="71">
        <v>0.28870000000000001</v>
      </c>
      <c r="D25" s="71">
        <v>0.28870000000000001</v>
      </c>
      <c r="E25" s="71">
        <v>0.28870000000000001</v>
      </c>
      <c r="F25" s="71">
        <v>0.28870000000000001</v>
      </c>
      <c r="G25" s="71">
        <v>0.28870000000000001</v>
      </c>
      <c r="H25" s="71">
        <v>0.28870000000000001</v>
      </c>
      <c r="I25" s="71">
        <v>0.28870000000000001</v>
      </c>
      <c r="J25" s="71">
        <v>0.28870000000000001</v>
      </c>
      <c r="K25" s="62"/>
      <c r="L25" s="8"/>
    </row>
    <row r="26" spans="1:12">
      <c r="A26" s="62"/>
      <c r="B26" s="69" t="s">
        <v>65</v>
      </c>
      <c r="C26" s="70">
        <f>C23/C24*(1-C25)</f>
        <v>1.6492750845546789E-2</v>
      </c>
      <c r="D26" s="70">
        <f t="shared" ref="D26:J26" si="1">D23/D24*(1-D25)</f>
        <v>1.6492750845546789E-2</v>
      </c>
      <c r="E26" s="70">
        <f t="shared" si="1"/>
        <v>1.6492750845546789E-2</v>
      </c>
      <c r="F26" s="70">
        <f>F23/F24*(1-F25)</f>
        <v>6.8697519729425038E-3</v>
      </c>
      <c r="G26" s="70">
        <f t="shared" si="1"/>
        <v>6.8697519729425038E-3</v>
      </c>
      <c r="H26" s="70">
        <f t="shared" si="1"/>
        <v>1.2389611048478017E-2</v>
      </c>
      <c r="I26" s="70">
        <f t="shared" si="1"/>
        <v>1.4843475760992111E-2</v>
      </c>
      <c r="J26" s="70">
        <f t="shared" si="1"/>
        <v>1.6492750845546789E-2</v>
      </c>
      <c r="K26" s="62"/>
      <c r="L26" s="7"/>
    </row>
    <row r="27" spans="1:12">
      <c r="A27" s="62" t="s">
        <v>63</v>
      </c>
      <c r="B27" s="69"/>
      <c r="C27" s="72"/>
      <c r="D27" s="72"/>
      <c r="E27" s="72"/>
      <c r="F27" s="72"/>
      <c r="G27" s="72"/>
      <c r="H27" s="72"/>
      <c r="I27" s="72"/>
      <c r="J27" s="72"/>
      <c r="K27" s="62"/>
      <c r="L27" s="4"/>
    </row>
    <row r="28" spans="1:12">
      <c r="A28" s="62"/>
      <c r="B28" s="69" t="s">
        <v>64</v>
      </c>
      <c r="C28" s="62">
        <v>1.5980000000000001</v>
      </c>
      <c r="D28" s="62">
        <v>1.202</v>
      </c>
      <c r="E28" s="62">
        <v>3.911</v>
      </c>
      <c r="F28" s="62">
        <v>0.02</v>
      </c>
      <c r="G28" s="62">
        <v>0.71</v>
      </c>
      <c r="H28" s="62">
        <v>1.5980000000000001</v>
      </c>
      <c r="I28" s="62">
        <v>0.48699999999999999</v>
      </c>
      <c r="J28" s="62"/>
      <c r="K28" s="62"/>
    </row>
    <row r="29" spans="1:12">
      <c r="A29" s="62"/>
      <c r="B29" s="69" t="s">
        <v>62</v>
      </c>
      <c r="C29" s="62">
        <v>1.6779999999999999</v>
      </c>
      <c r="D29" s="62">
        <v>1.706</v>
      </c>
      <c r="E29" s="62">
        <v>2</v>
      </c>
      <c r="F29" s="62">
        <v>1.6519999999999999</v>
      </c>
      <c r="G29" s="62">
        <v>1.6519999999999999</v>
      </c>
      <c r="H29" s="62">
        <v>1.6779999999999999</v>
      </c>
      <c r="I29" s="62">
        <v>2</v>
      </c>
      <c r="J29" s="73">
        <v>1.7130000000000001</v>
      </c>
      <c r="K29" s="62"/>
    </row>
    <row r="30" spans="1:12">
      <c r="A30" s="62"/>
      <c r="B30" s="69" t="s">
        <v>75</v>
      </c>
      <c r="C30" s="71">
        <v>0.33139999999999997</v>
      </c>
      <c r="D30" s="71">
        <v>0.21299999999999999</v>
      </c>
      <c r="E30" s="71">
        <v>0.19650000000000001</v>
      </c>
      <c r="F30" s="71">
        <v>0.26079999999999998</v>
      </c>
      <c r="G30" s="71">
        <v>0.26079999999999998</v>
      </c>
      <c r="H30" s="71">
        <v>0.28179999999999999</v>
      </c>
      <c r="I30" s="71">
        <v>0.22869999999999999</v>
      </c>
      <c r="J30" s="74">
        <v>0.21260000000000001</v>
      </c>
      <c r="K30" s="62"/>
      <c r="L30" s="8"/>
    </row>
    <row r="31" spans="1:12">
      <c r="A31" s="62"/>
      <c r="B31" s="69" t="s">
        <v>65</v>
      </c>
      <c r="C31" s="70">
        <f>C28/C29*(1-C30)</f>
        <v>0.63672395709177598</v>
      </c>
      <c r="D31" s="70">
        <f t="shared" ref="D31:I31" si="2">D28/D29*(1-D30)</f>
        <v>0.55449824150058613</v>
      </c>
      <c r="E31" s="70">
        <f t="shared" si="2"/>
        <v>1.5712442499999999</v>
      </c>
      <c r="F31" s="70">
        <f t="shared" si="2"/>
        <v>8.9491525423728829E-3</v>
      </c>
      <c r="G31" s="70">
        <f t="shared" si="2"/>
        <v>0.31769491525423732</v>
      </c>
      <c r="H31" s="70">
        <f t="shared" si="2"/>
        <v>0.68395923718712748</v>
      </c>
      <c r="I31" s="70">
        <f t="shared" si="2"/>
        <v>0.18781154999999999</v>
      </c>
      <c r="J31" s="70">
        <f>J29/(1-J30)</f>
        <v>2.1755143510287023</v>
      </c>
      <c r="K31" s="62"/>
      <c r="L31" s="7"/>
    </row>
    <row r="32" spans="1:12">
      <c r="A32" s="62" t="s">
        <v>73</v>
      </c>
      <c r="B32" s="69"/>
      <c r="C32" s="72"/>
      <c r="D32" s="72"/>
      <c r="E32" s="72"/>
      <c r="F32" s="72"/>
      <c r="G32" s="72"/>
      <c r="H32" s="72"/>
      <c r="I32" s="72"/>
      <c r="J32" s="62"/>
      <c r="K32" s="62"/>
      <c r="L32" s="4"/>
    </row>
    <row r="33" spans="1:17">
      <c r="A33" s="62"/>
      <c r="B33" s="69" t="s">
        <v>69</v>
      </c>
      <c r="C33" s="75">
        <f t="shared" ref="C33:I33" si="3">12/11950.412</f>
        <v>1.0041494803693797E-3</v>
      </c>
      <c r="D33" s="75">
        <f t="shared" si="3"/>
        <v>1.0041494803693797E-3</v>
      </c>
      <c r="E33" s="75">
        <f t="shared" si="3"/>
        <v>1.0041494803693797E-3</v>
      </c>
      <c r="F33" s="75">
        <f t="shared" si="3"/>
        <v>1.0041494803693797E-3</v>
      </c>
      <c r="G33" s="75">
        <f t="shared" si="3"/>
        <v>1.0041494803693797E-3</v>
      </c>
      <c r="H33" s="75">
        <f t="shared" si="3"/>
        <v>1.0041494803693797E-3</v>
      </c>
      <c r="I33" s="75">
        <f t="shared" si="3"/>
        <v>1.0041494803693797E-3</v>
      </c>
      <c r="J33" s="75">
        <f>9/27201.802</f>
        <v>3.3086043343746126E-4</v>
      </c>
      <c r="K33" s="62"/>
      <c r="L33" s="6"/>
    </row>
    <row r="34" spans="1:17">
      <c r="A34" s="62"/>
      <c r="B34" s="69" t="s">
        <v>62</v>
      </c>
      <c r="C34" s="62">
        <v>1.7969999999999999</v>
      </c>
      <c r="D34" s="62">
        <v>1.7969999999999999</v>
      </c>
      <c r="E34" s="62">
        <v>1.7969999999999999</v>
      </c>
      <c r="F34" s="62">
        <v>1.7969999999999999</v>
      </c>
      <c r="G34" s="62">
        <v>1.7969999999999999</v>
      </c>
      <c r="H34" s="62">
        <v>1.7969999999999999</v>
      </c>
      <c r="I34" s="62">
        <v>1.7969999999999999</v>
      </c>
      <c r="J34" s="62">
        <v>1.7969999999999999</v>
      </c>
      <c r="K34" s="70"/>
      <c r="O34" s="2"/>
      <c r="P34" s="37"/>
    </row>
    <row r="35" spans="1:17">
      <c r="A35" s="62"/>
      <c r="B35" s="69" t="s">
        <v>76</v>
      </c>
      <c r="C35" s="71">
        <v>0.25559999999999999</v>
      </c>
      <c r="D35" s="71">
        <v>0.25559999999999999</v>
      </c>
      <c r="E35" s="71">
        <v>0.25559999999999999</v>
      </c>
      <c r="F35" s="71">
        <v>0.25559999999999999</v>
      </c>
      <c r="G35" s="71">
        <v>0.25559999999999999</v>
      </c>
      <c r="H35" s="71">
        <v>0.25559999999999999</v>
      </c>
      <c r="I35" s="71">
        <v>0.25559999999999999</v>
      </c>
      <c r="J35" s="71">
        <v>0.25559999999999999</v>
      </c>
      <c r="K35" s="62"/>
      <c r="L35" s="8"/>
    </row>
    <row r="36" spans="1:17">
      <c r="A36" s="62"/>
      <c r="B36" s="69" t="s">
        <v>70</v>
      </c>
      <c r="C36" s="75">
        <f>C33/C34*(1-C35)</f>
        <v>4.1596487099998124E-4</v>
      </c>
      <c r="D36" s="75">
        <f t="shared" ref="D36:I36" si="4">D33/D34*(1-D35)</f>
        <v>4.1596487099998124E-4</v>
      </c>
      <c r="E36" s="75">
        <f t="shared" si="4"/>
        <v>4.1596487099998124E-4</v>
      </c>
      <c r="F36" s="75">
        <f>F33/F34*(1-F35)</f>
        <v>4.1596487099998124E-4</v>
      </c>
      <c r="G36" s="75">
        <f t="shared" si="4"/>
        <v>4.1596487099998124E-4</v>
      </c>
      <c r="H36" s="75">
        <f t="shared" si="4"/>
        <v>4.1596487099998124E-4</v>
      </c>
      <c r="I36" s="75">
        <f t="shared" si="4"/>
        <v>4.1596487099998124E-4</v>
      </c>
      <c r="J36" s="75">
        <f>J33/J34*(1-J35)</f>
        <v>1.3705759969440519E-4</v>
      </c>
      <c r="K36" s="62"/>
      <c r="L36" s="6"/>
    </row>
    <row r="37" spans="1:17">
      <c r="A37" s="62" t="s">
        <v>74</v>
      </c>
      <c r="B37" s="69"/>
      <c r="C37" s="72"/>
      <c r="D37" s="72"/>
      <c r="E37" s="72"/>
      <c r="F37" s="72"/>
      <c r="G37" s="72"/>
      <c r="H37" s="72"/>
      <c r="I37" s="72"/>
      <c r="J37" s="62"/>
      <c r="K37" s="62"/>
      <c r="L37" s="4"/>
      <c r="P37" s="3"/>
    </row>
    <row r="38" spans="1:17">
      <c r="A38" s="62"/>
      <c r="B38" s="69" t="s">
        <v>71</v>
      </c>
      <c r="C38" s="75">
        <f t="shared" ref="C38:I38" si="5">36/11950.412</f>
        <v>3.0124484411081392E-3</v>
      </c>
      <c r="D38" s="75">
        <f t="shared" si="5"/>
        <v>3.0124484411081392E-3</v>
      </c>
      <c r="E38" s="75">
        <f t="shared" si="5"/>
        <v>3.0124484411081392E-3</v>
      </c>
      <c r="F38" s="75">
        <f t="shared" si="5"/>
        <v>3.0124484411081392E-3</v>
      </c>
      <c r="G38" s="75">
        <f t="shared" si="5"/>
        <v>3.0124484411081392E-3</v>
      </c>
      <c r="H38" s="75">
        <f t="shared" si="5"/>
        <v>3.0124484411081392E-3</v>
      </c>
      <c r="I38" s="75">
        <f t="shared" si="5"/>
        <v>3.0124484411081392E-3</v>
      </c>
      <c r="J38" s="75">
        <f>29/27201.802</f>
        <v>1.0661058410762641E-3</v>
      </c>
      <c r="K38" s="62"/>
      <c r="L38" s="6"/>
      <c r="P38" s="8"/>
    </row>
    <row r="39" spans="1:17">
      <c r="A39" s="62"/>
      <c r="B39" s="69" t="s">
        <v>62</v>
      </c>
      <c r="C39" s="62">
        <v>1.7969999999999999</v>
      </c>
      <c r="D39" s="62">
        <v>1.7969999999999999</v>
      </c>
      <c r="E39" s="62">
        <v>1.7969999999999999</v>
      </c>
      <c r="F39" s="62">
        <v>1.7969999999999999</v>
      </c>
      <c r="G39" s="62">
        <v>1.7969999999999999</v>
      </c>
      <c r="H39" s="62">
        <v>1.7969999999999999</v>
      </c>
      <c r="I39" s="62">
        <v>1.7969999999999999</v>
      </c>
      <c r="J39" s="62">
        <v>1.7969999999999999</v>
      </c>
      <c r="K39" s="62"/>
      <c r="P39" s="8"/>
    </row>
    <row r="40" spans="1:17">
      <c r="A40" s="62"/>
      <c r="B40" s="69" t="s">
        <v>76</v>
      </c>
      <c r="C40" s="71">
        <v>0.27089999999999997</v>
      </c>
      <c r="D40" s="71">
        <v>0.27089999999999997</v>
      </c>
      <c r="E40" s="71">
        <v>0.27089999999999997</v>
      </c>
      <c r="F40" s="71">
        <v>0.27089999999999997</v>
      </c>
      <c r="G40" s="71">
        <v>0.27089999999999997</v>
      </c>
      <c r="H40" s="71">
        <v>0.27089999999999997</v>
      </c>
      <c r="I40" s="71">
        <v>0.27089999999999997</v>
      </c>
      <c r="J40" s="71">
        <v>0.27089999999999997</v>
      </c>
      <c r="K40" s="62"/>
      <c r="L40" s="8"/>
    </row>
    <row r="41" spans="1:17">
      <c r="A41" s="62"/>
      <c r="B41" s="69" t="s">
        <v>72</v>
      </c>
      <c r="C41" s="75">
        <f>C38/C39*(1-C40)</f>
        <v>1.2222460536516109E-3</v>
      </c>
      <c r="D41" s="75">
        <f t="shared" ref="D41:J41" si="6">D38/D39*(1-D40)</f>
        <v>1.2222460536516109E-3</v>
      </c>
      <c r="E41" s="75">
        <f t="shared" si="6"/>
        <v>1.2222460536516109E-3</v>
      </c>
      <c r="F41" s="75">
        <f>F38/F39*(1-F40)</f>
        <v>1.2222460536516109E-3</v>
      </c>
      <c r="G41" s="75">
        <f t="shared" si="6"/>
        <v>1.2222460536516109E-3</v>
      </c>
      <c r="H41" s="75">
        <f t="shared" si="6"/>
        <v>1.2222460536516109E-3</v>
      </c>
      <c r="I41" s="75">
        <f t="shared" si="6"/>
        <v>1.2222460536516109E-3</v>
      </c>
      <c r="J41" s="75">
        <f t="shared" si="6"/>
        <v>4.3255301543055334E-4</v>
      </c>
      <c r="K41" s="62"/>
      <c r="L41" s="6"/>
    </row>
    <row r="42" spans="1:17" ht="12.75" customHeight="1">
      <c r="A42" s="88" t="s">
        <v>40</v>
      </c>
      <c r="B42" s="89"/>
      <c r="C42" s="90"/>
      <c r="D42" s="90"/>
      <c r="E42" s="90"/>
      <c r="F42" s="90"/>
      <c r="G42" s="90"/>
      <c r="H42" s="90"/>
      <c r="I42" s="90"/>
      <c r="J42" s="62"/>
      <c r="K42" s="62"/>
      <c r="L42" s="5"/>
    </row>
    <row r="43" spans="1:17">
      <c r="A43" s="62"/>
      <c r="B43" s="69" t="s">
        <v>77</v>
      </c>
      <c r="C43" s="70">
        <f>C23+C28+C33+C38</f>
        <v>1.6431499312548108</v>
      </c>
      <c r="D43" s="70">
        <f t="shared" ref="D43:I43" si="7">D23+D28+D33+D38</f>
        <v>1.2471499312548107</v>
      </c>
      <c r="E43" s="70">
        <f t="shared" si="7"/>
        <v>3.956149931254811</v>
      </c>
      <c r="F43" s="70">
        <f>F23+F28+F33+F38</f>
        <v>4.1149931254810854E-2</v>
      </c>
      <c r="G43" s="70">
        <f t="shared" si="7"/>
        <v>0.73114993125481087</v>
      </c>
      <c r="H43" s="70">
        <f t="shared" si="7"/>
        <v>1.6329165979214775</v>
      </c>
      <c r="I43" s="70">
        <f t="shared" si="7"/>
        <v>0.52803659792147761</v>
      </c>
      <c r="J43" s="70">
        <f>J23+J33+J38</f>
        <v>4.2530299607847058E-2</v>
      </c>
      <c r="K43" s="62"/>
      <c r="L43" s="7"/>
    </row>
    <row r="44" spans="1:17">
      <c r="A44" s="62"/>
      <c r="B44" s="69" t="s">
        <v>65</v>
      </c>
      <c r="C44" s="70">
        <f t="shared" ref="C44:I44" si="8">C26+C31+C36+C41</f>
        <v>0.65485491886197433</v>
      </c>
      <c r="D44" s="70">
        <f t="shared" si="8"/>
        <v>0.57262920327078448</v>
      </c>
      <c r="E44" s="70">
        <f t="shared" si="8"/>
        <v>1.5893752117701982</v>
      </c>
      <c r="F44" s="70">
        <f t="shared" si="8"/>
        <v>1.7457115439966978E-2</v>
      </c>
      <c r="G44" s="70">
        <f t="shared" si="8"/>
        <v>0.32620287815183141</v>
      </c>
      <c r="H44" s="70">
        <f t="shared" si="8"/>
        <v>0.69798705916025705</v>
      </c>
      <c r="I44" s="70">
        <f t="shared" si="8"/>
        <v>0.2042932366856437</v>
      </c>
      <c r="J44" s="70">
        <f>J26+J36+J41</f>
        <v>1.7062361460671749E-2</v>
      </c>
      <c r="K44" s="62"/>
      <c r="L44" s="7"/>
    </row>
    <row r="45" spans="1:17">
      <c r="A45" s="85"/>
      <c r="B45" s="86" t="s">
        <v>184</v>
      </c>
      <c r="C45" s="87">
        <v>0.55000000000000004</v>
      </c>
      <c r="D45" s="87">
        <v>0.55000000000000004</v>
      </c>
      <c r="E45" s="87">
        <v>0.55000000000000004</v>
      </c>
      <c r="F45" s="87">
        <v>0.55000000000000004</v>
      </c>
      <c r="G45" s="87">
        <v>0.55000000000000004</v>
      </c>
      <c r="H45" s="87">
        <v>0.55000000000000004</v>
      </c>
      <c r="I45" s="87">
        <v>0.73</v>
      </c>
      <c r="J45" s="76">
        <v>0.73</v>
      </c>
      <c r="K45" s="62"/>
      <c r="L45" s="9"/>
    </row>
    <row r="46" spans="1:17">
      <c r="A46" s="79"/>
      <c r="B46" s="80" t="s">
        <v>185</v>
      </c>
      <c r="C46" s="81">
        <f>C45/73%</f>
        <v>0.7534246575342467</v>
      </c>
      <c r="D46" s="81">
        <f>D45/73%</f>
        <v>0.7534246575342467</v>
      </c>
      <c r="E46" s="81">
        <f t="shared" ref="E46:J46" si="9">E45/73%</f>
        <v>0.7534246575342467</v>
      </c>
      <c r="F46" s="81">
        <f>F45/73%</f>
        <v>0.7534246575342467</v>
      </c>
      <c r="G46" s="81">
        <f t="shared" si="9"/>
        <v>0.7534246575342467</v>
      </c>
      <c r="H46" s="81">
        <f t="shared" si="9"/>
        <v>0.7534246575342467</v>
      </c>
      <c r="I46" s="81">
        <f t="shared" si="9"/>
        <v>1</v>
      </c>
      <c r="J46" s="77">
        <f t="shared" si="9"/>
        <v>1</v>
      </c>
      <c r="K46" s="62"/>
      <c r="L46" s="10"/>
      <c r="O46" s="37"/>
      <c r="P46" s="7"/>
    </row>
    <row r="47" spans="1:17">
      <c r="A47" s="82"/>
      <c r="B47" s="83" t="s">
        <v>186</v>
      </c>
      <c r="C47" s="84">
        <f>C$44*C46</f>
        <v>0.49338384297819993</v>
      </c>
      <c r="D47" s="84">
        <f t="shared" ref="D47:J47" si="10">D$44*D46</f>
        <v>0.43143296136839931</v>
      </c>
      <c r="E47" s="84">
        <f t="shared" si="10"/>
        <v>1.1974744746213823</v>
      </c>
      <c r="F47" s="84">
        <f t="shared" si="10"/>
        <v>1.3152621221892931E-2</v>
      </c>
      <c r="G47" s="84">
        <f t="shared" si="10"/>
        <v>0.24576929175822917</v>
      </c>
      <c r="H47" s="84">
        <f t="shared" si="10"/>
        <v>0.52588066101115261</v>
      </c>
      <c r="I47" s="84">
        <f t="shared" si="10"/>
        <v>0.2042932366856437</v>
      </c>
      <c r="J47" s="70">
        <f t="shared" si="10"/>
        <v>1.7062361460671749E-2</v>
      </c>
      <c r="K47" s="62"/>
      <c r="L47" s="7"/>
      <c r="P47" s="7"/>
      <c r="Q47" s="7"/>
    </row>
    <row r="48" spans="1:17">
      <c r="A48" s="62"/>
      <c r="B48" s="69" t="s">
        <v>187</v>
      </c>
      <c r="C48" s="76">
        <v>0.48</v>
      </c>
      <c r="D48" s="76">
        <v>0.48</v>
      </c>
      <c r="E48" s="76">
        <v>0.48</v>
      </c>
      <c r="F48" s="76">
        <v>0.48</v>
      </c>
      <c r="G48" s="76">
        <v>0.48</v>
      </c>
      <c r="H48" s="76">
        <v>0.48</v>
      </c>
      <c r="I48" s="76">
        <v>0.73</v>
      </c>
      <c r="J48" s="76">
        <v>0.73</v>
      </c>
      <c r="K48" s="62"/>
      <c r="P48" s="7"/>
    </row>
    <row r="49" spans="1:16">
      <c r="A49" s="62"/>
      <c r="B49" s="69" t="s">
        <v>188</v>
      </c>
      <c r="C49" s="77">
        <f>C48/73%</f>
        <v>0.65753424657534243</v>
      </c>
      <c r="D49" s="77">
        <f>D48/73%</f>
        <v>0.65753424657534243</v>
      </c>
      <c r="E49" s="77">
        <f t="shared" ref="E49:J49" si="11">E48/73%</f>
        <v>0.65753424657534243</v>
      </c>
      <c r="F49" s="77">
        <f t="shared" si="11"/>
        <v>0.65753424657534243</v>
      </c>
      <c r="G49" s="77">
        <f t="shared" si="11"/>
        <v>0.65753424657534243</v>
      </c>
      <c r="H49" s="77">
        <f t="shared" si="11"/>
        <v>0.65753424657534243</v>
      </c>
      <c r="I49" s="77">
        <f t="shared" si="11"/>
        <v>1</v>
      </c>
      <c r="J49" s="77">
        <f t="shared" si="11"/>
        <v>1</v>
      </c>
      <c r="K49" s="62"/>
      <c r="P49" s="7"/>
    </row>
    <row r="50" spans="1:16">
      <c r="A50" s="62"/>
      <c r="B50" s="69" t="s">
        <v>189</v>
      </c>
      <c r="C50" s="70">
        <f t="shared" ref="C50:J50" si="12">C$44*C49</f>
        <v>0.43058953569006531</v>
      </c>
      <c r="D50" s="70">
        <f t="shared" si="12"/>
        <v>0.37652331173969389</v>
      </c>
      <c r="E50" s="70">
        <f t="shared" si="12"/>
        <v>1.0450686323968426</v>
      </c>
      <c r="F50" s="70">
        <f t="shared" si="12"/>
        <v>1.1478651248197464E-2</v>
      </c>
      <c r="G50" s="70">
        <f t="shared" si="12"/>
        <v>0.2144895637162727</v>
      </c>
      <c r="H50" s="70">
        <f t="shared" si="12"/>
        <v>0.45895039506427859</v>
      </c>
      <c r="I50" s="70">
        <f t="shared" si="12"/>
        <v>0.2042932366856437</v>
      </c>
      <c r="J50" s="70">
        <f t="shared" si="12"/>
        <v>1.7062361460671749E-2</v>
      </c>
      <c r="K50" s="62"/>
      <c r="P50" s="7"/>
    </row>
  </sheetData>
  <mergeCells count="1">
    <mergeCell ref="A7:I7"/>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C6BE4FC-81C0-4865-BAD0-593CA0ABC7C8}">
          <x14:formula1>
            <xm:f>Dropdowns!$A$6:$A$59</xm:f>
          </x14:formula1>
          <xm:sqref>C4 B8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R42"/>
  <sheetViews>
    <sheetView zoomScaleNormal="100" workbookViewId="0">
      <selection activeCell="I13" sqref="I13"/>
    </sheetView>
  </sheetViews>
  <sheetFormatPr defaultColWidth="9.109375" defaultRowHeight="14.4"/>
  <cols>
    <col min="1" max="2" width="3.33203125" style="103" customWidth="1"/>
    <col min="3" max="3" width="38" style="103" customWidth="1"/>
    <col min="4" max="11" width="14.33203125" style="103" customWidth="1"/>
    <col min="12" max="12" width="21" style="103" customWidth="1"/>
    <col min="13" max="13" width="13" style="103" customWidth="1"/>
    <col min="14" max="17" width="11" style="103" customWidth="1"/>
    <col min="18" max="19" width="13" style="103" customWidth="1"/>
    <col min="20" max="23" width="11" style="103" customWidth="1"/>
    <col min="24" max="25" width="13" style="103" customWidth="1"/>
    <col min="26" max="26" width="12.5546875" style="103" customWidth="1"/>
    <col min="27" max="27" width="8.88671875" style="103" customWidth="1"/>
    <col min="28" max="28" width="13.88671875" style="103" customWidth="1"/>
    <col min="29" max="16384" width="9.109375" style="103"/>
  </cols>
  <sheetData>
    <row r="1" spans="1:13" s="125" customFormat="1" ht="15" thickBot="1">
      <c r="C1" s="126"/>
      <c r="D1" s="125" t="s">
        <v>7</v>
      </c>
      <c r="E1" s="125" t="s">
        <v>8</v>
      </c>
      <c r="F1" s="126" t="s">
        <v>256</v>
      </c>
      <c r="G1" s="126" t="s">
        <v>183</v>
      </c>
      <c r="H1" s="125" t="s">
        <v>60</v>
      </c>
      <c r="I1" s="125" t="s">
        <v>59</v>
      </c>
      <c r="J1" s="125" t="s">
        <v>61</v>
      </c>
      <c r="K1" s="125" t="s">
        <v>91</v>
      </c>
    </row>
    <row r="2" spans="1:13" ht="15" thickTop="1">
      <c r="A2" s="103" t="s">
        <v>288</v>
      </c>
      <c r="C2" s="104"/>
      <c r="F2" s="104"/>
      <c r="G2" s="104"/>
    </row>
    <row r="3" spans="1:13">
      <c r="B3" s="114" t="s">
        <v>58</v>
      </c>
      <c r="C3" s="115"/>
      <c r="D3" s="114"/>
      <c r="E3" s="114"/>
      <c r="F3" s="114"/>
      <c r="G3" s="114"/>
      <c r="H3" s="114"/>
      <c r="I3" s="114"/>
      <c r="J3" s="114"/>
      <c r="K3" s="114"/>
    </row>
    <row r="4" spans="1:13">
      <c r="C4" s="104" t="s">
        <v>67</v>
      </c>
      <c r="D4" s="103">
        <v>1.234</v>
      </c>
      <c r="E4" s="103">
        <v>1.234</v>
      </c>
      <c r="F4" s="103">
        <v>1.234</v>
      </c>
      <c r="G4" s="103">
        <v>0.51400000000000001</v>
      </c>
      <c r="H4" s="103">
        <v>0.51400000000000001</v>
      </c>
      <c r="I4" s="103">
        <v>0.92700000000000005</v>
      </c>
      <c r="J4" s="103">
        <v>1.234</v>
      </c>
      <c r="K4" s="103">
        <v>1.234</v>
      </c>
    </row>
    <row r="5" spans="1:13">
      <c r="C5" s="104" t="s">
        <v>68</v>
      </c>
      <c r="J5" s="103">
        <v>900</v>
      </c>
    </row>
    <row r="6" spans="1:13">
      <c r="C6" s="104" t="s">
        <v>66</v>
      </c>
      <c r="D6" s="103">
        <v>30</v>
      </c>
      <c r="E6" s="103">
        <v>30</v>
      </c>
      <c r="F6" s="103">
        <v>30</v>
      </c>
      <c r="G6" s="103">
        <v>30</v>
      </c>
      <c r="H6" s="103">
        <v>30</v>
      </c>
      <c r="I6" s="103">
        <v>30</v>
      </c>
      <c r="J6" s="103">
        <v>30</v>
      </c>
      <c r="K6" s="103">
        <v>30</v>
      </c>
    </row>
    <row r="7" spans="1:13" ht="12.75" customHeight="1">
      <c r="C7" s="104" t="s">
        <v>64</v>
      </c>
      <c r="D7" s="105">
        <f t="shared" ref="D7:I7" si="0">D4/D6</f>
        <v>4.1133333333333334E-2</v>
      </c>
      <c r="E7" s="105">
        <f t="shared" si="0"/>
        <v>4.1133333333333334E-2</v>
      </c>
      <c r="F7" s="105">
        <f t="shared" si="0"/>
        <v>4.1133333333333334E-2</v>
      </c>
      <c r="G7" s="105">
        <f t="shared" si="0"/>
        <v>1.7133333333333334E-2</v>
      </c>
      <c r="H7" s="105">
        <f t="shared" si="0"/>
        <v>1.7133333333333334E-2</v>
      </c>
      <c r="I7" s="105">
        <f t="shared" si="0"/>
        <v>3.09E-2</v>
      </c>
      <c r="J7" s="105">
        <f>J4/J6*J5/1000</f>
        <v>3.7020000000000004E-2</v>
      </c>
      <c r="K7" s="105">
        <f>K4/K6</f>
        <v>4.1133333333333334E-2</v>
      </c>
      <c r="M7" s="105"/>
    </row>
    <row r="8" spans="1:13" ht="14.25" customHeight="1">
      <c r="C8" s="104" t="s">
        <v>62</v>
      </c>
      <c r="D8" s="103">
        <v>1.774</v>
      </c>
      <c r="E8" s="103">
        <v>1.774</v>
      </c>
      <c r="F8" s="103">
        <v>1.774</v>
      </c>
      <c r="G8" s="103">
        <v>1.774</v>
      </c>
      <c r="H8" s="103">
        <v>1.774</v>
      </c>
      <c r="I8" s="103">
        <v>1.774</v>
      </c>
      <c r="J8" s="103">
        <v>1.774</v>
      </c>
      <c r="K8" s="103">
        <v>1.774</v>
      </c>
    </row>
    <row r="9" spans="1:13" ht="14.25" customHeight="1">
      <c r="C9" s="104" t="s">
        <v>76</v>
      </c>
      <c r="D9" s="106">
        <v>0.28870000000000001</v>
      </c>
      <c r="E9" s="106">
        <v>0.28870000000000001</v>
      </c>
      <c r="F9" s="106">
        <v>0.28870000000000001</v>
      </c>
      <c r="G9" s="106">
        <v>0.28870000000000001</v>
      </c>
      <c r="H9" s="106">
        <v>0.28870000000000001</v>
      </c>
      <c r="I9" s="106">
        <v>0.28870000000000001</v>
      </c>
      <c r="J9" s="106">
        <v>0.28870000000000001</v>
      </c>
      <c r="K9" s="106">
        <v>0.28870000000000001</v>
      </c>
      <c r="M9" s="106"/>
    </row>
    <row r="10" spans="1:13">
      <c r="B10" s="121"/>
      <c r="C10" s="122" t="s">
        <v>65</v>
      </c>
      <c r="D10" s="123">
        <f>D7/D8*(1-D9)</f>
        <v>1.6492750845546789E-2</v>
      </c>
      <c r="E10" s="123">
        <f t="shared" ref="E10:K10" si="1">E7/E8*(1-E9)</f>
        <v>1.6492750845546789E-2</v>
      </c>
      <c r="F10" s="123">
        <f t="shared" si="1"/>
        <v>1.6492750845546789E-2</v>
      </c>
      <c r="G10" s="123">
        <f>G7/G8*(1-G9)</f>
        <v>6.8697519729425038E-3</v>
      </c>
      <c r="H10" s="123">
        <f t="shared" si="1"/>
        <v>6.8697519729425038E-3</v>
      </c>
      <c r="I10" s="123">
        <f t="shared" si="1"/>
        <v>1.2389611048478017E-2</v>
      </c>
      <c r="J10" s="123">
        <f t="shared" si="1"/>
        <v>1.4843475760992111E-2</v>
      </c>
      <c r="K10" s="123">
        <f t="shared" si="1"/>
        <v>1.6492750845546789E-2</v>
      </c>
      <c r="M10" s="105"/>
    </row>
    <row r="11" spans="1:13">
      <c r="B11" s="103" t="s">
        <v>63</v>
      </c>
      <c r="C11" s="104"/>
      <c r="D11" s="107"/>
      <c r="E11" s="107"/>
      <c r="F11" s="107"/>
      <c r="G11" s="107"/>
      <c r="H11" s="107"/>
      <c r="I11" s="107"/>
      <c r="J11" s="107"/>
      <c r="K11" s="107"/>
      <c r="M11" s="107"/>
    </row>
    <row r="12" spans="1:13">
      <c r="C12" s="104" t="s">
        <v>64</v>
      </c>
      <c r="D12" s="103">
        <v>1.5980000000000001</v>
      </c>
      <c r="E12" s="103">
        <v>1.202</v>
      </c>
      <c r="F12" s="103">
        <v>3.911</v>
      </c>
      <c r="G12" s="103">
        <v>0.02</v>
      </c>
      <c r="H12" s="103">
        <v>0.71</v>
      </c>
      <c r="I12" s="103">
        <v>1.5980000000000001</v>
      </c>
      <c r="J12" s="103">
        <v>0.48699999999999999</v>
      </c>
    </row>
    <row r="13" spans="1:13">
      <c r="C13" s="104" t="s">
        <v>62</v>
      </c>
      <c r="D13" s="103">
        <v>1.6779999999999999</v>
      </c>
      <c r="E13" s="103">
        <v>1.706</v>
      </c>
      <c r="F13" s="103">
        <v>2</v>
      </c>
      <c r="G13" s="103">
        <v>1.6519999999999999</v>
      </c>
      <c r="H13" s="103">
        <v>1.6519999999999999</v>
      </c>
      <c r="I13" s="103">
        <v>1.6779999999999999</v>
      </c>
      <c r="J13" s="103">
        <v>2</v>
      </c>
      <c r="K13" s="108">
        <v>1.7130000000000001</v>
      </c>
    </row>
    <row r="14" spans="1:13">
      <c r="C14" s="104" t="s">
        <v>75</v>
      </c>
      <c r="D14" s="106">
        <v>0.33139999999999997</v>
      </c>
      <c r="E14" s="106">
        <v>0.21299999999999999</v>
      </c>
      <c r="F14" s="106">
        <v>0.19650000000000001</v>
      </c>
      <c r="G14" s="106">
        <v>0.26079999999999998</v>
      </c>
      <c r="H14" s="106">
        <v>0.26079999999999998</v>
      </c>
      <c r="I14" s="106">
        <v>0.28179999999999999</v>
      </c>
      <c r="J14" s="106">
        <v>0.22869999999999999</v>
      </c>
      <c r="K14" s="109">
        <v>0.21260000000000001</v>
      </c>
      <c r="M14" s="106"/>
    </row>
    <row r="15" spans="1:13">
      <c r="B15" s="121"/>
      <c r="C15" s="122" t="s">
        <v>65</v>
      </c>
      <c r="D15" s="123">
        <f>D12/D13*(1-D14)</f>
        <v>0.63672395709177598</v>
      </c>
      <c r="E15" s="123">
        <f t="shared" ref="E15:J15" si="2">E12/E13*(1-E14)</f>
        <v>0.55449824150058613</v>
      </c>
      <c r="F15" s="123">
        <f t="shared" si="2"/>
        <v>1.5712442499999999</v>
      </c>
      <c r="G15" s="123">
        <f t="shared" si="2"/>
        <v>8.9491525423728829E-3</v>
      </c>
      <c r="H15" s="123">
        <f t="shared" si="2"/>
        <v>0.31769491525423732</v>
      </c>
      <c r="I15" s="123">
        <f t="shared" si="2"/>
        <v>0.68395923718712748</v>
      </c>
      <c r="J15" s="123">
        <f t="shared" si="2"/>
        <v>0.18781154999999999</v>
      </c>
      <c r="K15" s="123">
        <f>K13/(1-K14)</f>
        <v>2.1755143510287023</v>
      </c>
      <c r="M15" s="105"/>
    </row>
    <row r="16" spans="1:13">
      <c r="B16" s="103" t="s">
        <v>73</v>
      </c>
      <c r="C16" s="104"/>
      <c r="D16" s="107"/>
      <c r="E16" s="107"/>
      <c r="F16" s="107"/>
      <c r="G16" s="107"/>
      <c r="H16" s="107"/>
      <c r="I16" s="107"/>
      <c r="J16" s="107"/>
      <c r="M16" s="107"/>
    </row>
    <row r="17" spans="1:17">
      <c r="C17" s="104" t="s">
        <v>69</v>
      </c>
      <c r="D17" s="110">
        <f t="shared" ref="D17:J17" si="3">12/11950.412</f>
        <v>1.0041494803693797E-3</v>
      </c>
      <c r="E17" s="110">
        <f t="shared" si="3"/>
        <v>1.0041494803693797E-3</v>
      </c>
      <c r="F17" s="110">
        <f t="shared" si="3"/>
        <v>1.0041494803693797E-3</v>
      </c>
      <c r="G17" s="110">
        <f t="shared" si="3"/>
        <v>1.0041494803693797E-3</v>
      </c>
      <c r="H17" s="110">
        <f t="shared" si="3"/>
        <v>1.0041494803693797E-3</v>
      </c>
      <c r="I17" s="110">
        <f t="shared" si="3"/>
        <v>1.0041494803693797E-3</v>
      </c>
      <c r="J17" s="110">
        <f t="shared" si="3"/>
        <v>1.0041494803693797E-3</v>
      </c>
      <c r="K17" s="110">
        <f>9/27201.802</f>
        <v>3.3086043343746126E-4</v>
      </c>
      <c r="M17" s="110"/>
    </row>
    <row r="18" spans="1:17">
      <c r="C18" s="104" t="s">
        <v>62</v>
      </c>
      <c r="D18" s="103">
        <v>1.7969999999999999</v>
      </c>
      <c r="E18" s="103">
        <v>1.7969999999999999</v>
      </c>
      <c r="F18" s="103">
        <v>1.7969999999999999</v>
      </c>
      <c r="G18" s="103">
        <v>1.7969999999999999</v>
      </c>
      <c r="H18" s="103">
        <v>1.7969999999999999</v>
      </c>
      <c r="I18" s="103">
        <v>1.7969999999999999</v>
      </c>
      <c r="J18" s="103">
        <v>1.7969999999999999</v>
      </c>
      <c r="K18" s="103">
        <v>1.7969999999999999</v>
      </c>
      <c r="L18" s="105"/>
      <c r="P18" s="108"/>
      <c r="Q18" s="111"/>
    </row>
    <row r="19" spans="1:17">
      <c r="C19" s="104" t="s">
        <v>76</v>
      </c>
      <c r="D19" s="106">
        <v>0.25559999999999999</v>
      </c>
      <c r="E19" s="106">
        <v>0.25559999999999999</v>
      </c>
      <c r="F19" s="106">
        <v>0.25559999999999999</v>
      </c>
      <c r="G19" s="106">
        <v>0.25559999999999999</v>
      </c>
      <c r="H19" s="106">
        <v>0.25559999999999999</v>
      </c>
      <c r="I19" s="106">
        <v>0.25559999999999999</v>
      </c>
      <c r="J19" s="106">
        <v>0.25559999999999999</v>
      </c>
      <c r="K19" s="106">
        <v>0.25559999999999999</v>
      </c>
      <c r="M19" s="106"/>
    </row>
    <row r="20" spans="1:17">
      <c r="B20" s="121"/>
      <c r="C20" s="122" t="s">
        <v>70</v>
      </c>
      <c r="D20" s="128">
        <f>D17/D18*(1-D19)</f>
        <v>4.1596487099998124E-4</v>
      </c>
      <c r="E20" s="128">
        <f t="shared" ref="E20:J20" si="4">E17/E18*(1-E19)</f>
        <v>4.1596487099998124E-4</v>
      </c>
      <c r="F20" s="128">
        <f t="shared" si="4"/>
        <v>4.1596487099998124E-4</v>
      </c>
      <c r="G20" s="128">
        <f>G17/G18*(1-G19)</f>
        <v>4.1596487099998124E-4</v>
      </c>
      <c r="H20" s="128">
        <f t="shared" si="4"/>
        <v>4.1596487099998124E-4</v>
      </c>
      <c r="I20" s="128">
        <f t="shared" si="4"/>
        <v>4.1596487099998124E-4</v>
      </c>
      <c r="J20" s="128">
        <f t="shared" si="4"/>
        <v>4.1596487099998124E-4</v>
      </c>
      <c r="K20" s="128">
        <f>K17/K18*(1-K19)</f>
        <v>1.3705759969440519E-4</v>
      </c>
      <c r="M20" s="110"/>
    </row>
    <row r="21" spans="1:17">
      <c r="B21" s="103" t="s">
        <v>74</v>
      </c>
      <c r="C21" s="104"/>
      <c r="D21" s="107"/>
      <c r="E21" s="107"/>
      <c r="F21" s="107"/>
      <c r="G21" s="107"/>
      <c r="H21" s="107"/>
      <c r="I21" s="107"/>
      <c r="J21" s="107"/>
      <c r="M21" s="107"/>
      <c r="Q21" s="112"/>
    </row>
    <row r="22" spans="1:17">
      <c r="C22" s="104" t="s">
        <v>71</v>
      </c>
      <c r="D22" s="110">
        <f t="shared" ref="D22:J22" si="5">36/11950.412</f>
        <v>3.0124484411081392E-3</v>
      </c>
      <c r="E22" s="110">
        <f t="shared" si="5"/>
        <v>3.0124484411081392E-3</v>
      </c>
      <c r="F22" s="110">
        <f t="shared" si="5"/>
        <v>3.0124484411081392E-3</v>
      </c>
      <c r="G22" s="110">
        <f t="shared" si="5"/>
        <v>3.0124484411081392E-3</v>
      </c>
      <c r="H22" s="110">
        <f t="shared" si="5"/>
        <v>3.0124484411081392E-3</v>
      </c>
      <c r="I22" s="110">
        <f t="shared" si="5"/>
        <v>3.0124484411081392E-3</v>
      </c>
      <c r="J22" s="110">
        <f t="shared" si="5"/>
        <v>3.0124484411081392E-3</v>
      </c>
      <c r="K22" s="110">
        <f>29/27201.802</f>
        <v>1.0661058410762641E-3</v>
      </c>
      <c r="M22" s="110"/>
      <c r="Q22" s="106"/>
    </row>
    <row r="23" spans="1:17">
      <c r="C23" s="104" t="s">
        <v>62</v>
      </c>
      <c r="D23" s="103">
        <v>1.7969999999999999</v>
      </c>
      <c r="E23" s="103">
        <v>1.7969999999999999</v>
      </c>
      <c r="F23" s="103">
        <v>1.7969999999999999</v>
      </c>
      <c r="G23" s="103">
        <v>1.7969999999999999</v>
      </c>
      <c r="H23" s="103">
        <v>1.7969999999999999</v>
      </c>
      <c r="I23" s="103">
        <v>1.7969999999999999</v>
      </c>
      <c r="J23" s="103">
        <v>1.7969999999999999</v>
      </c>
      <c r="K23" s="103">
        <v>1.7969999999999999</v>
      </c>
      <c r="Q23" s="106"/>
    </row>
    <row r="24" spans="1:17">
      <c r="C24" s="104" t="s">
        <v>76</v>
      </c>
      <c r="D24" s="106">
        <v>0.27089999999999997</v>
      </c>
      <c r="E24" s="106">
        <v>0.27089999999999997</v>
      </c>
      <c r="F24" s="106">
        <v>0.27089999999999997</v>
      </c>
      <c r="G24" s="106">
        <v>0.27089999999999997</v>
      </c>
      <c r="H24" s="106">
        <v>0.27089999999999997</v>
      </c>
      <c r="I24" s="106">
        <v>0.27089999999999997</v>
      </c>
      <c r="J24" s="106">
        <v>0.27089999999999997</v>
      </c>
      <c r="K24" s="106">
        <v>0.27089999999999997</v>
      </c>
      <c r="M24" s="106"/>
    </row>
    <row r="25" spans="1:17">
      <c r="B25" s="121"/>
      <c r="C25" s="122" t="s">
        <v>72</v>
      </c>
      <c r="D25" s="128">
        <f>D22/D23*(1-D24)</f>
        <v>1.2222460536516109E-3</v>
      </c>
      <c r="E25" s="128">
        <f t="shared" ref="E25:K25" si="6">E22/E23*(1-E24)</f>
        <v>1.2222460536516109E-3</v>
      </c>
      <c r="F25" s="128">
        <f t="shared" si="6"/>
        <v>1.2222460536516109E-3</v>
      </c>
      <c r="G25" s="128">
        <f>G22/G23*(1-G24)</f>
        <v>1.2222460536516109E-3</v>
      </c>
      <c r="H25" s="128">
        <f t="shared" si="6"/>
        <v>1.2222460536516109E-3</v>
      </c>
      <c r="I25" s="128">
        <f t="shared" si="6"/>
        <v>1.2222460536516109E-3</v>
      </c>
      <c r="J25" s="128">
        <f t="shared" si="6"/>
        <v>1.2222460536516109E-3</v>
      </c>
      <c r="K25" s="128">
        <f t="shared" si="6"/>
        <v>4.3255301543055334E-4</v>
      </c>
      <c r="M25" s="110"/>
    </row>
    <row r="26" spans="1:17" ht="12.75" customHeight="1">
      <c r="B26" s="103" t="s">
        <v>40</v>
      </c>
      <c r="C26" s="104"/>
      <c r="D26" s="113"/>
      <c r="E26" s="113"/>
      <c r="F26" s="113"/>
      <c r="G26" s="113"/>
      <c r="H26" s="113"/>
      <c r="I26" s="113"/>
      <c r="J26" s="113"/>
      <c r="M26" s="113"/>
    </row>
    <row r="27" spans="1:17">
      <c r="C27" s="104" t="s">
        <v>77</v>
      </c>
      <c r="D27" s="105">
        <f>D7+D12+D17+D22</f>
        <v>1.6431499312548108</v>
      </c>
      <c r="E27" s="105">
        <f t="shared" ref="E27:J27" si="7">E7+E12+E17+E22</f>
        <v>1.2471499312548107</v>
      </c>
      <c r="F27" s="105">
        <f t="shared" si="7"/>
        <v>3.956149931254811</v>
      </c>
      <c r="G27" s="105">
        <f>G7+G12+G17+G22</f>
        <v>4.1149931254810854E-2</v>
      </c>
      <c r="H27" s="105">
        <f t="shared" si="7"/>
        <v>0.73114993125481087</v>
      </c>
      <c r="I27" s="105">
        <f t="shared" si="7"/>
        <v>1.6329165979214775</v>
      </c>
      <c r="J27" s="105">
        <f t="shared" si="7"/>
        <v>0.52803659792147761</v>
      </c>
      <c r="K27" s="105">
        <f>K7+K17+K22</f>
        <v>4.2530299607847058E-2</v>
      </c>
      <c r="M27" s="105"/>
    </row>
    <row r="28" spans="1:17" s="125" customFormat="1" ht="15" thickBot="1">
      <c r="C28" s="126" t="s">
        <v>65</v>
      </c>
      <c r="D28" s="127">
        <f t="shared" ref="D28:J28" si="8">D10+D15+D20+D25</f>
        <v>0.65485491886197433</v>
      </c>
      <c r="E28" s="127">
        <f t="shared" si="8"/>
        <v>0.57262920327078448</v>
      </c>
      <c r="F28" s="127">
        <f t="shared" si="8"/>
        <v>1.5893752117701982</v>
      </c>
      <c r="G28" s="127">
        <f t="shared" si="8"/>
        <v>1.7457115439966978E-2</v>
      </c>
      <c r="H28" s="127">
        <f t="shared" si="8"/>
        <v>0.32620287815183141</v>
      </c>
      <c r="I28" s="127">
        <f t="shared" si="8"/>
        <v>0.69798705916025705</v>
      </c>
      <c r="J28" s="127">
        <f t="shared" si="8"/>
        <v>0.2042932366856437</v>
      </c>
      <c r="K28" s="127">
        <f>K10+K20+K25</f>
        <v>1.7062361460671749E-2</v>
      </c>
      <c r="M28" s="127"/>
    </row>
    <row r="29" spans="1:17" ht="15" thickTop="1">
      <c r="A29" s="103" t="s">
        <v>289</v>
      </c>
      <c r="C29" s="104"/>
      <c r="D29" s="105"/>
      <c r="E29" s="105"/>
      <c r="F29" s="105"/>
      <c r="G29" s="105"/>
      <c r="H29" s="105"/>
      <c r="I29" s="105"/>
      <c r="J29" s="105"/>
      <c r="K29" s="124"/>
      <c r="M29" s="105"/>
    </row>
    <row r="30" spans="1:17">
      <c r="B30" s="114" t="s">
        <v>290</v>
      </c>
      <c r="C30" s="115"/>
      <c r="D30" s="130"/>
      <c r="E30" s="130"/>
      <c r="F30" s="130"/>
      <c r="G30" s="130"/>
      <c r="H30" s="130"/>
      <c r="I30" s="130"/>
      <c r="J30" s="130"/>
      <c r="K30" s="130"/>
      <c r="M30" s="105"/>
    </row>
    <row r="31" spans="1:17">
      <c r="B31" s="117"/>
      <c r="C31" s="118" t="s">
        <v>184</v>
      </c>
      <c r="D31" s="129">
        <v>0.55000000000000004</v>
      </c>
      <c r="E31" s="129">
        <v>0.55000000000000004</v>
      </c>
      <c r="F31" s="129">
        <v>0.55000000000000004</v>
      </c>
      <c r="G31" s="129">
        <v>0.55000000000000004</v>
      </c>
      <c r="H31" s="129">
        <v>0.55000000000000004</v>
      </c>
      <c r="I31" s="129">
        <v>0.55000000000000004</v>
      </c>
      <c r="J31" s="129">
        <v>0.73</v>
      </c>
      <c r="K31" s="116">
        <v>0.73</v>
      </c>
      <c r="M31" s="116"/>
    </row>
    <row r="32" spans="1:17">
      <c r="B32" s="117"/>
      <c r="C32" s="118" t="s">
        <v>185</v>
      </c>
      <c r="D32" s="119">
        <f>D31/73%</f>
        <v>0.7534246575342467</v>
      </c>
      <c r="E32" s="119">
        <f>E31/73%</f>
        <v>0.7534246575342467</v>
      </c>
      <c r="F32" s="119">
        <f t="shared" ref="F32:K32" si="9">F31/73%</f>
        <v>0.7534246575342467</v>
      </c>
      <c r="G32" s="119">
        <f>G31/73%</f>
        <v>0.7534246575342467</v>
      </c>
      <c r="H32" s="119">
        <f t="shared" si="9"/>
        <v>0.7534246575342467</v>
      </c>
      <c r="I32" s="119">
        <f t="shared" si="9"/>
        <v>0.7534246575342467</v>
      </c>
      <c r="J32" s="119">
        <f t="shared" si="9"/>
        <v>1</v>
      </c>
      <c r="K32" s="120">
        <f t="shared" si="9"/>
        <v>1</v>
      </c>
      <c r="M32" s="120"/>
      <c r="P32" s="111"/>
      <c r="Q32" s="105"/>
    </row>
    <row r="33" spans="2:18">
      <c r="B33" s="121"/>
      <c r="C33" s="131" t="s">
        <v>186</v>
      </c>
      <c r="D33" s="132">
        <f>D$28*D32</f>
        <v>0.49338384297819993</v>
      </c>
      <c r="E33" s="132">
        <f t="shared" ref="E33:K33" si="10">E$28*E32</f>
        <v>0.43143296136839931</v>
      </c>
      <c r="F33" s="132">
        <f t="shared" si="10"/>
        <v>1.1974744746213823</v>
      </c>
      <c r="G33" s="132">
        <f t="shared" si="10"/>
        <v>1.3152621221892931E-2</v>
      </c>
      <c r="H33" s="132">
        <f t="shared" si="10"/>
        <v>0.24576929175822917</v>
      </c>
      <c r="I33" s="132">
        <f t="shared" si="10"/>
        <v>0.52588066101115261</v>
      </c>
      <c r="J33" s="132">
        <f t="shared" si="10"/>
        <v>0.2042932366856437</v>
      </c>
      <c r="K33" s="132">
        <f t="shared" si="10"/>
        <v>1.7062361460671749E-2</v>
      </c>
      <c r="M33" s="105"/>
      <c r="Q33" s="105"/>
      <c r="R33" s="105"/>
    </row>
    <row r="34" spans="2:18">
      <c r="B34" s="117" t="s">
        <v>291</v>
      </c>
      <c r="C34" s="118"/>
      <c r="D34" s="124"/>
      <c r="E34" s="124"/>
      <c r="F34" s="124"/>
      <c r="G34" s="124"/>
      <c r="H34" s="124"/>
      <c r="I34" s="124"/>
      <c r="J34" s="124"/>
      <c r="K34" s="124"/>
      <c r="M34" s="105"/>
      <c r="Q34" s="105"/>
      <c r="R34" s="105"/>
    </row>
    <row r="35" spans="2:18">
      <c r="C35" s="104" t="s">
        <v>187</v>
      </c>
      <c r="D35" s="116">
        <v>0.48</v>
      </c>
      <c r="E35" s="116">
        <v>0.48</v>
      </c>
      <c r="F35" s="116">
        <v>0.48</v>
      </c>
      <c r="G35" s="116">
        <v>0.48</v>
      </c>
      <c r="H35" s="116">
        <v>0.48</v>
      </c>
      <c r="I35" s="116">
        <v>0.48</v>
      </c>
      <c r="J35" s="116">
        <v>0.73</v>
      </c>
      <c r="K35" s="116">
        <v>0.73</v>
      </c>
      <c r="Q35" s="105"/>
    </row>
    <row r="36" spans="2:18">
      <c r="C36" s="104" t="s">
        <v>188</v>
      </c>
      <c r="D36" s="120">
        <f>D35/73%</f>
        <v>0.65753424657534243</v>
      </c>
      <c r="E36" s="120">
        <f>E35/73%</f>
        <v>0.65753424657534243</v>
      </c>
      <c r="F36" s="120">
        <f t="shared" ref="F36:K36" si="11">F35/73%</f>
        <v>0.65753424657534243</v>
      </c>
      <c r="G36" s="120">
        <f t="shared" si="11"/>
        <v>0.65753424657534243</v>
      </c>
      <c r="H36" s="120">
        <f t="shared" si="11"/>
        <v>0.65753424657534243</v>
      </c>
      <c r="I36" s="120">
        <f t="shared" si="11"/>
        <v>0.65753424657534243</v>
      </c>
      <c r="J36" s="120">
        <f t="shared" si="11"/>
        <v>1</v>
      </c>
      <c r="K36" s="120">
        <f t="shared" si="11"/>
        <v>1</v>
      </c>
      <c r="Q36" s="105"/>
    </row>
    <row r="37" spans="2:18">
      <c r="C37" s="133" t="s">
        <v>189</v>
      </c>
      <c r="D37" s="134">
        <f t="shared" ref="D37:K37" si="12">D$28*D36</f>
        <v>0.43058953569006531</v>
      </c>
      <c r="E37" s="134">
        <f t="shared" si="12"/>
        <v>0.37652331173969389</v>
      </c>
      <c r="F37" s="134">
        <f t="shared" si="12"/>
        <v>1.0450686323968426</v>
      </c>
      <c r="G37" s="134">
        <f t="shared" si="12"/>
        <v>1.1478651248197464E-2</v>
      </c>
      <c r="H37" s="134">
        <f t="shared" si="12"/>
        <v>0.2144895637162727</v>
      </c>
      <c r="I37" s="134">
        <f t="shared" si="12"/>
        <v>0.45895039506427859</v>
      </c>
      <c r="J37" s="134">
        <f t="shared" si="12"/>
        <v>0.2042932366856437</v>
      </c>
      <c r="K37" s="134">
        <f t="shared" si="12"/>
        <v>1.7062361460671749E-2</v>
      </c>
      <c r="Q37" s="105"/>
    </row>
    <row r="40" spans="2:18">
      <c r="D40" s="37">
        <v>3286</v>
      </c>
      <c r="E40" s="37">
        <f>1768+4566</f>
        <v>6334</v>
      </c>
      <c r="F40" s="37">
        <f>1768+4566</f>
        <v>6334</v>
      </c>
      <c r="G40" s="37">
        <v>6609</v>
      </c>
      <c r="H40" s="37">
        <v>0</v>
      </c>
    </row>
    <row r="41" spans="2:18">
      <c r="D41" s="103">
        <f>D40/1000*D27</f>
        <v>5.3993906741033086</v>
      </c>
      <c r="E41" s="103">
        <f>E42/1000*F27+(E40-E42)/1000*D27</f>
        <v>14.497095664567972</v>
      </c>
      <c r="F41" s="103">
        <f>F42/1000*F27+(F40-F42)/1000*D27</f>
        <v>14.497095664567972</v>
      </c>
      <c r="G41" s="103">
        <f>G40/1000*I27</f>
        <v>10.791945795663045</v>
      </c>
    </row>
    <row r="42" spans="2:18">
      <c r="E42" s="103">
        <v>1768</v>
      </c>
      <c r="F42" s="103">
        <v>1768</v>
      </c>
    </row>
  </sheetData>
  <sheetProtection sheet="1" objects="1" scenarios="1" selectLockedCells="1"/>
  <pageMargins left="0.25" right="0.25"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8"/>
  <sheetViews>
    <sheetView workbookViewId="0">
      <selection activeCell="D9" sqref="D9"/>
    </sheetView>
  </sheetViews>
  <sheetFormatPr defaultRowHeight="14.4"/>
  <cols>
    <col min="1" max="1" width="26.109375" customWidth="1"/>
    <col min="3" max="4" width="7.44140625" customWidth="1"/>
  </cols>
  <sheetData>
    <row r="1" spans="1:4">
      <c r="A1" s="11" t="s">
        <v>92</v>
      </c>
      <c r="B1" s="11"/>
      <c r="C1" s="12"/>
      <c r="D1" s="12"/>
    </row>
    <row r="2" spans="1:4">
      <c r="A2" s="11" t="s">
        <v>93</v>
      </c>
      <c r="B2" s="11"/>
      <c r="C2" s="12"/>
      <c r="D2" s="12"/>
    </row>
    <row r="3" spans="1:4">
      <c r="A3" s="11" t="s">
        <v>94</v>
      </c>
      <c r="B3" s="11"/>
      <c r="C3" s="12"/>
      <c r="D3" s="12"/>
    </row>
    <row r="4" spans="1:4">
      <c r="A4" s="224" t="s">
        <v>95</v>
      </c>
      <c r="B4" s="224"/>
      <c r="C4" s="225" t="s">
        <v>96</v>
      </c>
      <c r="D4" s="225"/>
    </row>
    <row r="5" spans="1:4">
      <c r="A5" s="13"/>
      <c r="B5" s="14" t="s">
        <v>97</v>
      </c>
      <c r="C5" s="12"/>
      <c r="D5" s="12"/>
    </row>
    <row r="6" spans="1:4">
      <c r="A6" s="13" t="s">
        <v>98</v>
      </c>
      <c r="B6" s="15">
        <v>8576</v>
      </c>
      <c r="C6" s="12"/>
      <c r="D6" s="12"/>
    </row>
    <row r="7" spans="1:4">
      <c r="A7" s="13" t="s">
        <v>99</v>
      </c>
      <c r="B7" s="13">
        <v>196</v>
      </c>
      <c r="C7" s="12"/>
      <c r="D7" s="12"/>
    </row>
    <row r="8" spans="1:4">
      <c r="A8" s="13" t="s">
        <v>100</v>
      </c>
      <c r="B8" s="13">
        <v>171</v>
      </c>
      <c r="C8" s="12"/>
      <c r="D8" s="12"/>
    </row>
    <row r="9" spans="1:4">
      <c r="A9" s="13" t="s">
        <v>101</v>
      </c>
      <c r="B9" s="13">
        <v>191</v>
      </c>
      <c r="C9" s="12"/>
      <c r="D9" s="12"/>
    </row>
    <row r="10" spans="1:4">
      <c r="A10" s="13" t="s">
        <v>102</v>
      </c>
      <c r="B10" s="13">
        <v>561</v>
      </c>
      <c r="C10" s="12"/>
      <c r="D10" s="12"/>
    </row>
    <row r="11" spans="1:4">
      <c r="A11" s="13" t="s">
        <v>103</v>
      </c>
      <c r="B11" s="13">
        <v>208</v>
      </c>
      <c r="C11" s="12"/>
      <c r="D11" s="12"/>
    </row>
    <row r="12" spans="1:4">
      <c r="A12" s="13" t="s">
        <v>104</v>
      </c>
      <c r="B12" s="13">
        <v>203</v>
      </c>
      <c r="C12" s="12"/>
      <c r="D12" s="12"/>
    </row>
    <row r="13" spans="1:4">
      <c r="A13" s="13" t="s">
        <v>105</v>
      </c>
      <c r="B13" s="13">
        <v>340</v>
      </c>
      <c r="C13" s="12"/>
      <c r="D13" s="12"/>
    </row>
    <row r="14" spans="1:4">
      <c r="A14" s="16" t="s">
        <v>106</v>
      </c>
      <c r="B14" s="15">
        <f>$B$13/2</f>
        <v>170</v>
      </c>
      <c r="C14" s="17">
        <f>SUM(B7:B12,B14)/B6</f>
        <v>0.1982276119402985</v>
      </c>
      <c r="D14" s="17">
        <f>SUM(B7:B12,B14)/(B6-B29-B28)</f>
        <v>0.24566473988439305</v>
      </c>
    </row>
    <row r="15" spans="1:4">
      <c r="A15" s="16" t="s">
        <v>107</v>
      </c>
      <c r="B15" s="15">
        <f>$B$13/2</f>
        <v>170</v>
      </c>
      <c r="C15" s="12"/>
      <c r="D15" s="12"/>
    </row>
    <row r="16" spans="1:4">
      <c r="A16" s="13" t="s">
        <v>108</v>
      </c>
      <c r="B16" s="13">
        <v>451</v>
      </c>
      <c r="C16" s="12"/>
      <c r="D16" s="12"/>
    </row>
    <row r="17" spans="1:4">
      <c r="A17" s="13" t="s">
        <v>109</v>
      </c>
      <c r="B17" s="13">
        <v>197</v>
      </c>
      <c r="C17" s="12"/>
      <c r="D17" s="12"/>
    </row>
    <row r="18" spans="1:4">
      <c r="A18" s="13" t="s">
        <v>110</v>
      </c>
      <c r="B18" s="13">
        <v>510</v>
      </c>
      <c r="C18" s="17">
        <f>SUM(B15:B18)/B6</f>
        <v>0.15485074626865672</v>
      </c>
      <c r="D18" s="17">
        <f>SUM(B15:B18)/(B6-B29-B28)</f>
        <v>0.19190751445086704</v>
      </c>
    </row>
    <row r="19" spans="1:4">
      <c r="A19" s="13" t="s">
        <v>111</v>
      </c>
      <c r="B19" s="15">
        <v>1231</v>
      </c>
      <c r="C19" s="12"/>
      <c r="D19" s="12"/>
    </row>
    <row r="20" spans="1:4">
      <c r="A20" s="13" t="s">
        <v>112</v>
      </c>
      <c r="B20" s="15">
        <v>1226</v>
      </c>
      <c r="C20" s="12"/>
      <c r="D20" s="12"/>
    </row>
    <row r="21" spans="1:4">
      <c r="A21" s="13" t="s">
        <v>113</v>
      </c>
      <c r="B21" s="13">
        <v>862</v>
      </c>
      <c r="C21" s="12"/>
      <c r="D21" s="12"/>
    </row>
    <row r="22" spans="1:4">
      <c r="A22" s="16" t="s">
        <v>114</v>
      </c>
      <c r="B22" s="13">
        <f>$B$21/5</f>
        <v>172.4</v>
      </c>
      <c r="C22" s="12"/>
      <c r="D22" s="12"/>
    </row>
    <row r="23" spans="1:4">
      <c r="A23" s="16" t="s">
        <v>115</v>
      </c>
      <c r="B23" s="13">
        <f>$B$21/5</f>
        <v>172.4</v>
      </c>
      <c r="C23" s="12"/>
      <c r="D23" s="12"/>
    </row>
    <row r="24" spans="1:4">
      <c r="A24" s="16" t="s">
        <v>116</v>
      </c>
      <c r="B24" s="13">
        <f>$B$21/5</f>
        <v>172.4</v>
      </c>
      <c r="C24" s="17">
        <f>SUM(B22:B24,B19:B20)/B6</f>
        <v>0.34680503731343282</v>
      </c>
      <c r="D24" s="17">
        <f>SUM(B22:B24,B19:B20)/(B6-B29-B28)</f>
        <v>0.42979768786127165</v>
      </c>
    </row>
    <row r="25" spans="1:4">
      <c r="A25" s="16" t="s">
        <v>117</v>
      </c>
      <c r="B25" s="13">
        <f>$B$21/5</f>
        <v>172.4</v>
      </c>
      <c r="C25" s="12"/>
      <c r="D25" s="12"/>
    </row>
    <row r="26" spans="1:4">
      <c r="A26" s="16" t="s">
        <v>118</v>
      </c>
      <c r="B26" s="13">
        <f>$B$21/5</f>
        <v>172.4</v>
      </c>
      <c r="C26" s="12"/>
      <c r="D26" s="12"/>
    </row>
    <row r="27" spans="1:4">
      <c r="A27" s="13" t="s">
        <v>119</v>
      </c>
      <c r="B27" s="13">
        <v>573</v>
      </c>
      <c r="C27" s="17">
        <f>SUM(B25:B27)/B6</f>
        <v>0.10701958955223879</v>
      </c>
      <c r="D27" s="17">
        <f>SUM(B25:B27)/(B6-B29-B28)</f>
        <v>0.1326300578034682</v>
      </c>
    </row>
    <row r="28" spans="1:4">
      <c r="A28" s="13" t="s">
        <v>120</v>
      </c>
      <c r="B28" s="13">
        <v>386</v>
      </c>
      <c r="C28" s="18">
        <f>SUM(B28:B29)/B6</f>
        <v>0.19309701492537312</v>
      </c>
      <c r="D28" s="12"/>
    </row>
    <row r="29" spans="1:4">
      <c r="A29" s="13" t="s">
        <v>121</v>
      </c>
      <c r="B29" s="15">
        <v>1270</v>
      </c>
      <c r="C29" s="12"/>
      <c r="D29" s="12"/>
    </row>
    <row r="30" spans="1:4">
      <c r="A30" s="13" t="s">
        <v>122</v>
      </c>
      <c r="B30" s="12"/>
      <c r="C30" s="12"/>
      <c r="D30" s="12"/>
    </row>
    <row r="32" spans="1:4">
      <c r="A32" s="19" t="s">
        <v>125</v>
      </c>
      <c r="B32" s="20"/>
      <c r="C32" s="20"/>
      <c r="D32" s="20"/>
    </row>
    <row r="33" spans="1:14">
      <c r="A33" s="19" t="s">
        <v>94</v>
      </c>
      <c r="B33" s="19"/>
      <c r="C33" s="19"/>
      <c r="D33" s="19"/>
    </row>
    <row r="34" spans="1:14" ht="15" customHeight="1">
      <c r="A34" s="28" t="s">
        <v>126</v>
      </c>
      <c r="B34" s="26" t="s">
        <v>95</v>
      </c>
      <c r="C34" s="28"/>
      <c r="E34" s="26"/>
    </row>
    <row r="35" spans="1:14" ht="15" customHeight="1">
      <c r="A35" s="25"/>
      <c r="B35" s="26" t="s">
        <v>97</v>
      </c>
      <c r="C35" s="25"/>
      <c r="E35" s="26"/>
    </row>
    <row r="36" spans="1:14">
      <c r="A36" s="26" t="s">
        <v>98</v>
      </c>
      <c r="B36" s="27">
        <v>8576</v>
      </c>
      <c r="C36" s="25"/>
      <c r="E36" s="26"/>
      <c r="J36" s="21"/>
      <c r="K36" s="22"/>
      <c r="L36" s="22"/>
      <c r="M36" s="22"/>
      <c r="N36" s="22"/>
    </row>
    <row r="37" spans="1:14">
      <c r="A37" s="26" t="s">
        <v>127</v>
      </c>
      <c r="B37" s="27">
        <v>1700</v>
      </c>
      <c r="C37" s="25"/>
      <c r="E37" s="26"/>
      <c r="J37" s="21"/>
      <c r="K37" s="23"/>
      <c r="L37" s="22"/>
      <c r="M37" s="23"/>
      <c r="N37" s="22"/>
    </row>
    <row r="38" spans="1:14">
      <c r="A38" s="26" t="s">
        <v>128</v>
      </c>
      <c r="B38" s="27">
        <v>2935</v>
      </c>
      <c r="C38" s="25"/>
      <c r="E38" s="26"/>
      <c r="J38" s="21"/>
      <c r="K38" s="22"/>
      <c r="L38" s="22"/>
      <c r="M38" s="24"/>
      <c r="N38" s="22"/>
    </row>
    <row r="39" spans="1:14">
      <c r="A39" s="26" t="s">
        <v>129</v>
      </c>
      <c r="B39" s="27">
        <v>3238</v>
      </c>
      <c r="C39" s="25"/>
      <c r="F39" s="21"/>
      <c r="G39" s="23"/>
      <c r="H39" s="22"/>
    </row>
    <row r="40" spans="1:14">
      <c r="A40" s="26" t="s">
        <v>130</v>
      </c>
      <c r="B40" s="26">
        <v>703</v>
      </c>
      <c r="C40" s="25"/>
      <c r="F40" t="s">
        <v>137</v>
      </c>
      <c r="G40" s="29" t="s">
        <v>138</v>
      </c>
      <c r="H40" s="22"/>
    </row>
    <row r="41" spans="1:14">
      <c r="A41" s="26" t="s">
        <v>131</v>
      </c>
      <c r="B41" s="27">
        <v>2573</v>
      </c>
      <c r="C41" s="25"/>
      <c r="E41" t="s">
        <v>132</v>
      </c>
      <c r="F41">
        <f>(B43+B46+B47*2)/(B43+B44-B45)</f>
        <v>1.4267015706806283</v>
      </c>
      <c r="G41">
        <f>3/7</f>
        <v>0.42857142857142855</v>
      </c>
      <c r="H41" s="22"/>
      <c r="J41" s="38"/>
    </row>
    <row r="42" spans="1:14">
      <c r="A42" s="26" t="s">
        <v>127</v>
      </c>
      <c r="B42" s="26">
        <v>935</v>
      </c>
      <c r="C42" s="25"/>
      <c r="F42" s="21"/>
      <c r="H42" s="22"/>
      <c r="J42" s="38"/>
    </row>
    <row r="43" spans="1:14">
      <c r="A43" s="26" t="s">
        <v>128</v>
      </c>
      <c r="B43" s="27">
        <v>1638</v>
      </c>
      <c r="C43" s="25"/>
      <c r="F43" s="21"/>
      <c r="H43" s="22"/>
    </row>
    <row r="44" spans="1:14">
      <c r="A44" s="26" t="s">
        <v>133</v>
      </c>
      <c r="B44" s="27">
        <v>3203</v>
      </c>
      <c r="C44" s="25"/>
      <c r="E44" t="s">
        <v>50</v>
      </c>
      <c r="F44">
        <f>(0.25*B46+B50*1+B51*2+B52*3+B55*1+B56*2+B57*3)/(0.25*B46+B48-B49+B53-B54)</f>
        <v>1.9945059736635562</v>
      </c>
      <c r="G44">
        <f>3/7</f>
        <v>0.42857142857142855</v>
      </c>
      <c r="H44" s="22"/>
      <c r="J44" s="38"/>
    </row>
    <row r="45" spans="1:14">
      <c r="A45" s="26" t="s">
        <v>127</v>
      </c>
      <c r="B45" s="26">
        <v>639</v>
      </c>
      <c r="C45" s="25"/>
      <c r="J45" s="38"/>
    </row>
    <row r="46" spans="1:14">
      <c r="A46" s="26" t="s">
        <v>128</v>
      </c>
      <c r="B46" s="26">
        <v>771</v>
      </c>
      <c r="C46" s="25"/>
      <c r="J46" s="38"/>
    </row>
    <row r="47" spans="1:14">
      <c r="A47" s="26" t="s">
        <v>129</v>
      </c>
      <c r="B47" s="27">
        <v>1793</v>
      </c>
      <c r="C47" s="25"/>
      <c r="J47" s="38"/>
    </row>
    <row r="48" spans="1:14">
      <c r="A48" s="26" t="s">
        <v>134</v>
      </c>
      <c r="B48" s="27">
        <v>1413</v>
      </c>
      <c r="C48" s="25"/>
      <c r="E48" t="s">
        <v>51</v>
      </c>
      <c r="F48">
        <f>(B50*1+B52*3+B55*1+B56*2+B57*3)/(B48-B49-B51+B53-B54)</f>
        <v>2.0924281984334203</v>
      </c>
      <c r="G48">
        <f>1/7</f>
        <v>0.14285714285714285</v>
      </c>
      <c r="J48" s="38"/>
    </row>
    <row r="49" spans="1:10">
      <c r="A49" s="26" t="s">
        <v>127</v>
      </c>
      <c r="B49" s="26">
        <v>0</v>
      </c>
      <c r="C49" s="25"/>
      <c r="J49" s="38"/>
    </row>
    <row r="50" spans="1:10">
      <c r="A50" s="26" t="s">
        <v>128</v>
      </c>
      <c r="B50" s="26">
        <v>251</v>
      </c>
      <c r="C50" s="25"/>
      <c r="G50">
        <f>F41*G41+F44*G44+F48*G48</f>
        <v>1.7651501187808534</v>
      </c>
    </row>
    <row r="51" spans="1:10">
      <c r="A51" s="26" t="s">
        <v>129</v>
      </c>
      <c r="B51" s="26">
        <v>759</v>
      </c>
      <c r="C51" s="25"/>
      <c r="E51" s="26"/>
    </row>
    <row r="52" spans="1:10">
      <c r="A52" s="26" t="s">
        <v>135</v>
      </c>
      <c r="B52" s="26">
        <v>403</v>
      </c>
      <c r="C52" s="25"/>
      <c r="E52" s="26"/>
    </row>
    <row r="53" spans="1:10" ht="15" customHeight="1">
      <c r="A53" s="26" t="s">
        <v>136</v>
      </c>
      <c r="B53" s="27">
        <v>1387</v>
      </c>
      <c r="C53" s="25"/>
      <c r="E53" s="26"/>
    </row>
    <row r="54" spans="1:10">
      <c r="A54" s="26" t="s">
        <v>127</v>
      </c>
      <c r="B54" s="26">
        <v>126</v>
      </c>
      <c r="C54" s="25"/>
      <c r="E54" s="26"/>
    </row>
    <row r="55" spans="1:10">
      <c r="A55" s="26" t="s">
        <v>128</v>
      </c>
      <c r="B55" s="26">
        <v>275</v>
      </c>
      <c r="C55" s="25"/>
      <c r="E55" s="26"/>
    </row>
    <row r="56" spans="1:10">
      <c r="A56" s="26" t="s">
        <v>129</v>
      </c>
      <c r="B56" s="26">
        <v>686</v>
      </c>
      <c r="C56" s="25"/>
      <c r="E56" s="26"/>
    </row>
    <row r="57" spans="1:10">
      <c r="A57" s="26" t="s">
        <v>130</v>
      </c>
      <c r="B57" s="26">
        <v>300</v>
      </c>
      <c r="C57" s="25"/>
      <c r="E57" s="26"/>
    </row>
    <row r="58" spans="1:10">
      <c r="A58" s="25"/>
      <c r="B58" s="25"/>
      <c r="C58" s="25"/>
      <c r="D58" s="25"/>
      <c r="E58" s="25"/>
    </row>
  </sheetData>
  <sheetProtection sheet="1" objects="1" scenarios="1" selectLockedCells="1"/>
  <mergeCells count="2">
    <mergeCell ref="A4:B4"/>
    <mergeCell ref="C4:D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2:U62"/>
  <sheetViews>
    <sheetView topLeftCell="A37" zoomScaleNormal="100" workbookViewId="0">
      <selection activeCell="B63" sqref="B63"/>
    </sheetView>
  </sheetViews>
  <sheetFormatPr defaultRowHeight="14.4"/>
  <cols>
    <col min="1" max="1" width="13.6640625" customWidth="1"/>
    <col min="2" max="5" width="14.44140625" customWidth="1"/>
    <col min="6" max="6" width="7.33203125" customWidth="1"/>
    <col min="7" max="8" width="14.33203125" customWidth="1"/>
    <col min="9" max="17" width="14" customWidth="1"/>
    <col min="18" max="18" width="14.88671875" customWidth="1"/>
    <col min="19" max="21" width="14" customWidth="1"/>
  </cols>
  <sheetData>
    <row r="2" spans="1:21">
      <c r="A2" t="s">
        <v>182</v>
      </c>
    </row>
    <row r="3" spans="1:21">
      <c r="B3" s="31">
        <f>S8*P8</f>
        <v>562.9082956495597</v>
      </c>
      <c r="H3" t="s">
        <v>154</v>
      </c>
    </row>
    <row r="4" spans="1:21">
      <c r="I4" t="s">
        <v>155</v>
      </c>
      <c r="J4" t="s">
        <v>58</v>
      </c>
      <c r="K4" t="s">
        <v>156</v>
      </c>
      <c r="L4" t="s">
        <v>157</v>
      </c>
      <c r="M4" s="1" t="s">
        <v>173</v>
      </c>
      <c r="N4" s="1" t="s">
        <v>174</v>
      </c>
      <c r="O4" s="1" t="s">
        <v>175</v>
      </c>
      <c r="P4" s="1" t="s">
        <v>180</v>
      </c>
      <c r="Q4" s="1" t="s">
        <v>176</v>
      </c>
      <c r="R4" t="s">
        <v>177</v>
      </c>
      <c r="S4" s="1" t="s">
        <v>178</v>
      </c>
    </row>
    <row r="5" spans="1:21">
      <c r="H5" s="99" t="s">
        <v>139</v>
      </c>
      <c r="I5" s="97">
        <v>2000000</v>
      </c>
      <c r="J5" s="97">
        <f>16000000-2000000</f>
        <v>14000000</v>
      </c>
      <c r="K5" s="101">
        <v>31531</v>
      </c>
      <c r="L5" s="101">
        <v>21286</v>
      </c>
      <c r="M5" s="101">
        <v>30</v>
      </c>
      <c r="N5" s="34">
        <f t="shared" ref="N5:O7" si="0">K5/$M5</f>
        <v>1051.0333333333333</v>
      </c>
      <c r="O5" s="34">
        <f t="shared" si="0"/>
        <v>709.5333333333333</v>
      </c>
      <c r="P5" s="36">
        <f>N5/O5</f>
        <v>1.4813022643991356</v>
      </c>
      <c r="Q5" s="31">
        <f>I5/(K5+1915)</f>
        <v>59.797883154936315</v>
      </c>
      <c r="R5" s="31">
        <f>J5/(K5+1915)</f>
        <v>418.58518208455422</v>
      </c>
      <c r="S5" s="31">
        <f>SUM(Q5:R5)</f>
        <v>478.38306523949052</v>
      </c>
      <c r="T5" t="s">
        <v>179</v>
      </c>
    </row>
    <row r="6" spans="1:21">
      <c r="H6" s="99" t="s">
        <v>158</v>
      </c>
      <c r="I6" s="97">
        <v>3645000</v>
      </c>
      <c r="J6" s="97">
        <f>12900000-I6</f>
        <v>9255000</v>
      </c>
      <c r="K6" s="101">
        <v>35078</v>
      </c>
      <c r="L6" s="101">
        <v>18645</v>
      </c>
      <c r="M6" s="101">
        <v>26</v>
      </c>
      <c r="N6" s="34">
        <f t="shared" si="0"/>
        <v>1349.1538461538462</v>
      </c>
      <c r="O6" s="34">
        <f t="shared" si="0"/>
        <v>717.11538461538464</v>
      </c>
      <c r="P6" s="36">
        <f>N6/O6</f>
        <v>1.8813622955215876</v>
      </c>
      <c r="Q6" s="31">
        <f>I6/K6</f>
        <v>103.91128342550887</v>
      </c>
      <c r="R6" s="31">
        <f>J6/K6</f>
        <v>263.84058384172414</v>
      </c>
      <c r="S6" s="31">
        <f>SUM(Q6:R6)</f>
        <v>367.75186726723302</v>
      </c>
      <c r="T6" t="s">
        <v>159</v>
      </c>
    </row>
    <row r="7" spans="1:21">
      <c r="H7" s="99" t="s">
        <v>140</v>
      </c>
      <c r="I7" s="97"/>
      <c r="J7" s="97">
        <v>9549163</v>
      </c>
      <c r="K7" s="101">
        <v>42141</v>
      </c>
      <c r="L7" s="101">
        <v>33252</v>
      </c>
      <c r="M7" s="101">
        <v>24</v>
      </c>
      <c r="N7" s="34">
        <f t="shared" si="0"/>
        <v>1755.875</v>
      </c>
      <c r="O7" s="34">
        <f t="shared" si="0"/>
        <v>1385.5</v>
      </c>
      <c r="P7" s="36">
        <f>N7/O7</f>
        <v>1.2673222663298449</v>
      </c>
      <c r="R7" s="31">
        <f>J7/K7</f>
        <v>226.6002942502551</v>
      </c>
      <c r="S7" s="31">
        <f>SUM(Q7:R7)</f>
        <v>226.6002942502551</v>
      </c>
      <c r="T7" s="4"/>
    </row>
    <row r="8" spans="1:21">
      <c r="I8" s="31"/>
      <c r="J8" s="31"/>
      <c r="K8" s="32"/>
      <c r="L8" s="32"/>
      <c r="M8" s="32"/>
      <c r="N8" s="32">
        <f>SUM(K5:K7)/SUM(M5:M7)</f>
        <v>1359.375</v>
      </c>
      <c r="O8" s="32">
        <f>SUM(L5:L7)/SUM(M5:M7)</f>
        <v>914.78750000000002</v>
      </c>
      <c r="P8" s="36">
        <f>N8/O8</f>
        <v>1.4860008471912876</v>
      </c>
      <c r="Q8" s="31">
        <f>SUM(I5:I6)/SUM(K5:K6,1915)</f>
        <v>82.379896094798909</v>
      </c>
      <c r="R8" s="32">
        <f>SUM(J5:J7)/SUM(K5:K7,1915)</f>
        <v>296.42762390999866</v>
      </c>
      <c r="S8" s="31">
        <f>SUM(Q8:R8)</f>
        <v>378.80752000479754</v>
      </c>
      <c r="T8" s="4"/>
    </row>
    <row r="9" spans="1:21">
      <c r="I9" s="31"/>
      <c r="J9" s="31"/>
      <c r="K9" s="32"/>
      <c r="L9" s="32"/>
      <c r="M9" s="32"/>
      <c r="N9" s="32"/>
      <c r="O9" s="32"/>
      <c r="P9" s="35"/>
      <c r="Q9" s="32"/>
      <c r="R9" s="32"/>
      <c r="S9" s="4"/>
      <c r="T9" s="4"/>
    </row>
    <row r="10" spans="1:21">
      <c r="A10" t="s">
        <v>287</v>
      </c>
    </row>
    <row r="11" spans="1:21">
      <c r="B11" t="s">
        <v>151</v>
      </c>
      <c r="C11" t="s">
        <v>152</v>
      </c>
      <c r="D11" t="s">
        <v>153</v>
      </c>
      <c r="G11" t="s">
        <v>141</v>
      </c>
      <c r="K11" t="s">
        <v>142</v>
      </c>
      <c r="O11" t="s">
        <v>274</v>
      </c>
      <c r="R11" s="96">
        <v>43193</v>
      </c>
    </row>
    <row r="12" spans="1:21">
      <c r="A12" s="3">
        <v>0.5</v>
      </c>
      <c r="B12" s="4">
        <f>P$14/SUM(P$14:Q$15)*H$12*A12+SUM(P$15,Q$14)/SUM(P$14:Q$15)*H$13*A12+Q$15/SUM(P$14:Q$15)*H$13*A12</f>
        <v>36800.694444444445</v>
      </c>
      <c r="C12" s="4">
        <f>Q$14/SUM(Q$14:U$15)*H$13*A12+SUM(Q$15,R$14)/SUM(Q$14:U$15)*H$14*A12+SUM(R$15,S$14)/SUM(Q$14:U$15)*H$15*A12+SUM(S$15,T$14)/SUM(Q$14:U$15)*H$16*A12++SUM(T$15,U$14)/SUM(Q$14:U$15)*H$17*A12+U$15/SUM(Q$14:U$15)*H$18*A12</f>
        <v>46337.561728395071</v>
      </c>
      <c r="D12" s="4">
        <f>R$14/SUM(R$14:U$15)*H$14*A12+SUM(R$15,S$14)/SUM(R$14:U$15)*H$15*A12+SUM(S$15,T$14)/SUM(R$14:U$15)*H$16*A12+SUM(T$15,U$14)/SUM(R$14:U$15)*H$17*A12+U$15/SUM(R$14:U$15)*H$18*A12</f>
        <v>50270.602409638552</v>
      </c>
      <c r="G12">
        <v>1</v>
      </c>
      <c r="H12" s="97">
        <v>68950</v>
      </c>
      <c r="K12" t="s">
        <v>143</v>
      </c>
      <c r="L12" t="s">
        <v>144</v>
      </c>
      <c r="M12" t="s">
        <v>145</v>
      </c>
      <c r="P12" t="s">
        <v>146</v>
      </c>
    </row>
    <row r="13" spans="1:21">
      <c r="A13" s="3">
        <v>0.8</v>
      </c>
      <c r="B13" s="4">
        <f>P$14/SUM(P$14:Q$15)*H$12*A13+SUM(P$15,Q$14)/SUM(P$14:Q$15)*H$13*A13+Q$15/SUM(P$14:Q$15)*H$13*A13</f>
        <v>58881.111111111117</v>
      </c>
      <c r="C13" s="4">
        <f>Q$14/SUM(Q$14:U$15)*H$13*A13+SUM(Q$15,R$14)/SUM(Q$14:U$15)*H$14*A13+SUM(R$15,S$14)/SUM(Q$14:U$15)*H$15*A13+SUM(S$15,T$14)/SUM(Q$14:U$15)*H$16*A13++SUM(T$15,U$14)/SUM(Q$14:U$15)*H$17*A13+U$15/SUM(Q$14:U$15)*H$18*A13</f>
        <v>74140.098765432107</v>
      </c>
      <c r="D13" s="4">
        <f>R$14/SUM(R$14:U$15)*H$14*A13+SUM(R$15,S$14)/SUM(R$14:U$15)*H$15*A13+SUM(S$15,T$14)/SUM(R$14:U$15)*H$16*A13+SUM(T$15,U$14)/SUM(R$14:U$15)*H$17*A13+U$15/SUM(R$14:U$15)*H$18*A13</f>
        <v>80432.96385542168</v>
      </c>
      <c r="G13">
        <v>2</v>
      </c>
      <c r="H13" s="97">
        <v>78800</v>
      </c>
      <c r="K13" s="99">
        <v>1</v>
      </c>
      <c r="L13" s="99" t="s">
        <v>147</v>
      </c>
      <c r="M13" s="99" t="s">
        <v>148</v>
      </c>
      <c r="O13" t="s">
        <v>144</v>
      </c>
      <c r="P13">
        <v>0</v>
      </c>
      <c r="Q13">
        <v>1</v>
      </c>
      <c r="R13">
        <v>2</v>
      </c>
      <c r="S13">
        <v>3</v>
      </c>
      <c r="T13">
        <v>4</v>
      </c>
      <c r="U13">
        <v>5</v>
      </c>
    </row>
    <row r="14" spans="1:21">
      <c r="A14" s="3">
        <v>1.2</v>
      </c>
      <c r="B14" s="4">
        <f>P$14/SUM(P$14:Q$15)*H$12*A14+SUM(P$15,Q$14)/SUM(P$14:Q$15)*H$13*A14+Q$15/SUM(P$14:Q$15)*H$13*A14</f>
        <v>88321.666666666657</v>
      </c>
      <c r="C14" s="4">
        <f>Q$14/SUM(Q$14:U$15)*H$13*A14+SUM(Q$15,R$14)/SUM(Q$14:U$15)*H$14*A14+SUM(R$15,S$14)/SUM(Q$14:U$15)*H$15*A14+SUM(S$15,T$14)/SUM(Q$14:U$15)*H$16*A14++SUM(T$15,U$14)/SUM(Q$14:U$15)*H$17*A14+U$15/SUM(Q$14:U$15)*H$18*A14</f>
        <v>111210.14814814815</v>
      </c>
      <c r="D14" s="4">
        <f>R$14/SUM(R$14:U$15)*H$14*A14+SUM(R$15,S$14)/SUM(R$14:U$15)*H$15*A14+SUM(S$15,T$14)/SUM(R$14:U$15)*H$16*A14+SUM(T$15,U$14)/SUM(R$14:U$15)*H$17*A14+U$15/SUM(R$14:U$15)*H$18*A14</f>
        <v>120649.44578313253</v>
      </c>
      <c r="G14">
        <v>3</v>
      </c>
      <c r="H14" s="97">
        <v>88650</v>
      </c>
      <c r="K14" s="99">
        <v>2</v>
      </c>
      <c r="L14" s="99" t="s">
        <v>147</v>
      </c>
      <c r="M14" s="99" t="s">
        <v>149</v>
      </c>
      <c r="O14">
        <v>1</v>
      </c>
      <c r="P14" s="99">
        <v>190</v>
      </c>
      <c r="Q14" s="99">
        <v>34</v>
      </c>
      <c r="R14" s="99">
        <v>6</v>
      </c>
      <c r="S14" s="99">
        <v>4</v>
      </c>
      <c r="T14" s="99">
        <v>0</v>
      </c>
      <c r="U14" s="99">
        <v>0</v>
      </c>
    </row>
    <row r="15" spans="1:21">
      <c r="A15" s="3">
        <v>2</v>
      </c>
      <c r="B15" s="4">
        <f>P$14/SUM(P$14:Q$15)*H$12*A15+SUM(P$15,Q$14)/SUM(P$14:Q$15)*H$13*A15+Q$15/SUM(P$14:Q$15)*H$13*A15</f>
        <v>147202.77777777778</v>
      </c>
      <c r="C15" s="4">
        <f>Q$14/SUM(Q$14:U$15)*H$13*A15+SUM(Q$15,R$14)/SUM(Q$14:U$15)*H$14*A15+SUM(R$15,S$14)/SUM(Q$14:U$15)*H$15*A15+SUM(S$15,T$14)/SUM(Q$14:U$15)*H$16*A15++SUM(T$15,U$14)/SUM(Q$14:U$15)*H$17*A15+U$15/SUM(Q$14:U$15)*H$18*A15</f>
        <v>185350.24691358028</v>
      </c>
      <c r="D15" s="4">
        <f>R$14/SUM(R$14:U$15)*H$14*A15+SUM(R$15,S$14)/SUM(R$14:U$15)*H$15*A15+SUM(S$15,T$14)/SUM(R$14:U$15)*H$16*A15+SUM(T$15,U$14)/SUM(R$14:U$15)*H$17*A15+U$15/SUM(R$14:U$15)*H$18*A15</f>
        <v>201082.40963855421</v>
      </c>
      <c r="G15">
        <v>4</v>
      </c>
      <c r="H15" s="98">
        <v>98500</v>
      </c>
      <c r="K15" s="99">
        <v>3</v>
      </c>
      <c r="L15" s="99" t="s">
        <v>147</v>
      </c>
      <c r="M15" s="99" t="s">
        <v>150</v>
      </c>
      <c r="O15">
        <v>2</v>
      </c>
      <c r="P15" s="99">
        <v>91</v>
      </c>
      <c r="Q15" s="99">
        <v>45</v>
      </c>
      <c r="R15" s="99">
        <v>51</v>
      </c>
      <c r="S15" s="99">
        <v>18</v>
      </c>
      <c r="T15" s="99">
        <v>1</v>
      </c>
      <c r="U15" s="99">
        <v>3</v>
      </c>
    </row>
    <row r="16" spans="1:21">
      <c r="G16">
        <v>5</v>
      </c>
      <c r="H16" s="97">
        <v>106380</v>
      </c>
    </row>
    <row r="17" spans="1:17">
      <c r="G17">
        <v>6</v>
      </c>
      <c r="H17" s="97">
        <v>114260</v>
      </c>
    </row>
    <row r="18" spans="1:17">
      <c r="G18">
        <v>7</v>
      </c>
      <c r="H18" s="97">
        <v>122140</v>
      </c>
    </row>
    <row r="20" spans="1:17">
      <c r="A20" t="s">
        <v>181</v>
      </c>
      <c r="I20" t="s">
        <v>160</v>
      </c>
    </row>
    <row r="21" spans="1:17">
      <c r="B21" t="s">
        <v>151</v>
      </c>
      <c r="C21" t="s">
        <v>152</v>
      </c>
      <c r="D21" t="s">
        <v>153</v>
      </c>
      <c r="J21" t="s">
        <v>161</v>
      </c>
      <c r="K21" t="s">
        <v>162</v>
      </c>
      <c r="L21" t="s">
        <v>152</v>
      </c>
      <c r="M21" t="s">
        <v>153</v>
      </c>
    </row>
    <row r="22" spans="1:17">
      <c r="B22" s="33">
        <v>650</v>
      </c>
      <c r="C22" s="33">
        <v>900</v>
      </c>
      <c r="D22" s="33">
        <v>1150</v>
      </c>
      <c r="I22" s="99" t="s">
        <v>163</v>
      </c>
      <c r="J22" s="99">
        <v>395</v>
      </c>
      <c r="K22" s="99">
        <v>790</v>
      </c>
      <c r="L22" s="99">
        <v>950</v>
      </c>
      <c r="M22" s="99"/>
    </row>
    <row r="23" spans="1:17">
      <c r="I23" s="99" t="s">
        <v>158</v>
      </c>
      <c r="J23" s="99">
        <v>495</v>
      </c>
      <c r="K23" s="99">
        <v>588</v>
      </c>
      <c r="L23" s="99">
        <v>1081</v>
      </c>
      <c r="M23" s="99"/>
    </row>
    <row r="24" spans="1:17">
      <c r="I24" s="99" t="s">
        <v>164</v>
      </c>
      <c r="J24" s="99">
        <v>535</v>
      </c>
      <c r="K24" s="99">
        <v>705</v>
      </c>
      <c r="L24" s="99">
        <v>928</v>
      </c>
      <c r="M24" s="99"/>
      <c r="N24" t="s">
        <v>165</v>
      </c>
    </row>
    <row r="25" spans="1:17">
      <c r="I25" s="99" t="s">
        <v>140</v>
      </c>
      <c r="J25" s="99"/>
      <c r="K25" s="99"/>
      <c r="L25" s="99">
        <v>1179</v>
      </c>
      <c r="M25" s="99">
        <v>1592</v>
      </c>
      <c r="N25" t="s">
        <v>165</v>
      </c>
    </row>
    <row r="26" spans="1:17">
      <c r="G26" s="5"/>
    </row>
    <row r="27" spans="1:17">
      <c r="A27" s="30" t="s">
        <v>166</v>
      </c>
    </row>
    <row r="28" spans="1:17">
      <c r="B28" t="s">
        <v>151</v>
      </c>
      <c r="C28" t="s">
        <v>152</v>
      </c>
      <c r="D28" t="s">
        <v>153</v>
      </c>
    </row>
    <row r="29" spans="1:17">
      <c r="A29" s="3">
        <v>0.5</v>
      </c>
      <c r="B29" s="5">
        <f>0.6*B12*0.3-$H$30</f>
        <v>4124.125</v>
      </c>
      <c r="C29" s="5">
        <f>0.6*C12*0.3-$H$30</f>
        <v>5840.7611111111109</v>
      </c>
      <c r="D29" s="5">
        <f>0.6*D12*0.3-$H$30</f>
        <v>6548.7084337349388</v>
      </c>
      <c r="G29" t="s">
        <v>275</v>
      </c>
    </row>
    <row r="30" spans="1:17">
      <c r="A30" s="3">
        <v>0.8</v>
      </c>
      <c r="B30" s="5">
        <f t="shared" ref="B30:D32" si="1">B12*0.3-$H$30</f>
        <v>8540.2083333333339</v>
      </c>
      <c r="C30" s="5">
        <f t="shared" si="1"/>
        <v>11401.26851851852</v>
      </c>
      <c r="D30" s="5">
        <f t="shared" si="1"/>
        <v>12581.180722891564</v>
      </c>
      <c r="H30" s="97">
        <v>2500</v>
      </c>
    </row>
    <row r="31" spans="1:17">
      <c r="A31" s="3">
        <v>1.2</v>
      </c>
      <c r="B31" s="5">
        <f t="shared" si="1"/>
        <v>15164.333333333336</v>
      </c>
      <c r="C31" s="5">
        <f t="shared" si="1"/>
        <v>19742.029629629633</v>
      </c>
      <c r="D31" s="5">
        <f t="shared" si="1"/>
        <v>21629.889156626505</v>
      </c>
      <c r="Q31" s="33"/>
    </row>
    <row r="32" spans="1:17">
      <c r="A32" s="3">
        <v>2</v>
      </c>
      <c r="B32" s="5">
        <f t="shared" si="1"/>
        <v>23996.499999999996</v>
      </c>
      <c r="C32" s="5">
        <f t="shared" si="1"/>
        <v>30863.044444444444</v>
      </c>
      <c r="D32" s="5">
        <f t="shared" si="1"/>
        <v>33694.833734939755</v>
      </c>
      <c r="P32" s="33"/>
    </row>
    <row r="34" spans="1:8">
      <c r="A34" s="30" t="s">
        <v>167</v>
      </c>
    </row>
    <row r="35" spans="1:8">
      <c r="B35" s="3">
        <v>0.08</v>
      </c>
    </row>
    <row r="37" spans="1:8">
      <c r="A37" t="s">
        <v>168</v>
      </c>
    </row>
    <row r="38" spans="1:8">
      <c r="B38" t="s">
        <v>151</v>
      </c>
      <c r="C38" t="s">
        <v>152</v>
      </c>
      <c r="D38" t="s">
        <v>153</v>
      </c>
    </row>
    <row r="39" spans="1:8">
      <c r="A39" s="3">
        <v>0.5</v>
      </c>
      <c r="B39" s="5">
        <f>PV($G$42/12,$G$41*12,-1*0.6*B12*$G$39/12)/(1-$G$40)</f>
        <v>71072.125903817403</v>
      </c>
      <c r="C39" s="5">
        <f>PV($G$42/12,$G$41*12,-1*0.6*C12*$G$39/12)/(1-$G$40)</f>
        <v>89490.404215281698</v>
      </c>
      <c r="D39" s="5">
        <f>PV($G$42/12,$G$41*12,-1*0.6*D12*$G$39/12)/(1-$G$40)</f>
        <v>97086.172901227546</v>
      </c>
      <c r="G39" s="100">
        <v>0.22</v>
      </c>
      <c r="H39" t="s">
        <v>169</v>
      </c>
    </row>
    <row r="40" spans="1:8">
      <c r="A40" s="3">
        <v>0.8</v>
      </c>
      <c r="B40" s="4">
        <f t="shared" ref="B40:D42" si="2">PV($G$42/12,$G$41*12,-1*(B12+B13)/2*$G$39/12)/(1-$G$40)</f>
        <v>153989.60612493771</v>
      </c>
      <c r="C40" s="4">
        <f t="shared" si="2"/>
        <v>193895.87579977699</v>
      </c>
      <c r="D40" s="4">
        <f t="shared" si="2"/>
        <v>210353.37461932635</v>
      </c>
      <c r="G40" s="100">
        <v>0.05</v>
      </c>
      <c r="H40" t="s">
        <v>170</v>
      </c>
    </row>
    <row r="41" spans="1:8">
      <c r="A41" s="3">
        <v>1.2</v>
      </c>
      <c r="B41" s="4">
        <f t="shared" si="2"/>
        <v>236907.086346058</v>
      </c>
      <c r="C41" s="4">
        <f t="shared" si="2"/>
        <v>298301.34738427232</v>
      </c>
      <c r="D41" s="4">
        <f t="shared" si="2"/>
        <v>323620.57633742515</v>
      </c>
      <c r="G41" s="102">
        <v>30</v>
      </c>
      <c r="H41" t="s">
        <v>171</v>
      </c>
    </row>
    <row r="42" spans="1:8">
      <c r="A42" s="3">
        <v>2</v>
      </c>
      <c r="B42" s="4">
        <f t="shared" si="2"/>
        <v>379051.33815369284</v>
      </c>
      <c r="C42" s="4">
        <f t="shared" si="2"/>
        <v>477282.15581483569</v>
      </c>
      <c r="D42" s="4">
        <f t="shared" si="2"/>
        <v>517792.92213988031</v>
      </c>
      <c r="G42" s="100">
        <v>0.06</v>
      </c>
      <c r="H42" t="s">
        <v>286</v>
      </c>
    </row>
    <row r="44" spans="1:8">
      <c r="A44" t="s">
        <v>172</v>
      </c>
    </row>
    <row r="45" spans="1:8">
      <c r="B45" t="s">
        <v>151</v>
      </c>
      <c r="C45" t="s">
        <v>152</v>
      </c>
      <c r="D45" t="s">
        <v>153</v>
      </c>
    </row>
    <row r="46" spans="1:8">
      <c r="A46" s="3">
        <v>0.5</v>
      </c>
      <c r="B46" s="5">
        <f t="shared" ref="B46:D47" si="3">IF(B$22*$B$3-B29/$B$35&gt;0,B$22*$B$3-B29/$B$35,0)</f>
        <v>314338.82967221382</v>
      </c>
      <c r="C46" s="5">
        <f t="shared" si="3"/>
        <v>433607.95219571487</v>
      </c>
      <c r="D46" s="5">
        <f t="shared" si="3"/>
        <v>565485.68457530683</v>
      </c>
    </row>
    <row r="47" spans="1:8">
      <c r="A47" s="3">
        <v>0.8</v>
      </c>
      <c r="B47" s="5">
        <f t="shared" si="3"/>
        <v>259137.78800554713</v>
      </c>
      <c r="C47" s="5">
        <f t="shared" si="3"/>
        <v>364101.60960312223</v>
      </c>
      <c r="D47" s="5">
        <f t="shared" si="3"/>
        <v>490079.78096084902</v>
      </c>
    </row>
    <row r="48" spans="1:8">
      <c r="A48" s="3">
        <v>1.2</v>
      </c>
      <c r="B48" s="4">
        <f t="shared" ref="B48:D49" si="4">IF(B$22*$B$3-B41&gt;0,B$22*$B$3-B41,0)</f>
        <v>128983.30582615582</v>
      </c>
      <c r="C48" s="4">
        <f t="shared" si="4"/>
        <v>208316.11870033143</v>
      </c>
      <c r="D48" s="4">
        <f t="shared" si="4"/>
        <v>323723.96365956846</v>
      </c>
    </row>
    <row r="49" spans="1:4">
      <c r="A49" s="3">
        <v>2</v>
      </c>
      <c r="B49" s="4">
        <f t="shared" si="4"/>
        <v>0</v>
      </c>
      <c r="C49" s="4">
        <f t="shared" si="4"/>
        <v>29335.310269768059</v>
      </c>
      <c r="D49" s="4">
        <f t="shared" si="4"/>
        <v>129551.61785711331</v>
      </c>
    </row>
    <row r="51" spans="1:4">
      <c r="A51" t="str">
        <f>Dropdowns!C17</f>
        <v>1 bed, &lt; 50% Median Income</v>
      </c>
      <c r="B51" s="5">
        <f>B46</f>
        <v>314338.82967221382</v>
      </c>
    </row>
    <row r="52" spans="1:4">
      <c r="A52" t="str">
        <f>Dropdowns!C18</f>
        <v>2 bed, &lt; 50% Median Income</v>
      </c>
      <c r="B52" s="5">
        <f>C46</f>
        <v>433607.95219571487</v>
      </c>
    </row>
    <row r="53" spans="1:4">
      <c r="A53" t="str">
        <f>Dropdowns!C19</f>
        <v>3 bed, &lt; 50% Median Income</v>
      </c>
      <c r="B53" s="5">
        <f>D46</f>
        <v>565485.68457530683</v>
      </c>
    </row>
    <row r="54" spans="1:4">
      <c r="A54" t="str">
        <f>Dropdowns!C20</f>
        <v>1 bed, &lt; 80% Median Income</v>
      </c>
      <c r="B54" s="5">
        <f>B47</f>
        <v>259137.78800554713</v>
      </c>
    </row>
    <row r="55" spans="1:4">
      <c r="A55" t="str">
        <f>Dropdowns!C21</f>
        <v>2 bed, &lt; 80% Median Income</v>
      </c>
      <c r="B55" s="5">
        <f>C47</f>
        <v>364101.60960312223</v>
      </c>
    </row>
    <row r="56" spans="1:4">
      <c r="A56" t="str">
        <f>Dropdowns!C22</f>
        <v>3 bed, &lt; 80% Median Income</v>
      </c>
      <c r="B56" s="5">
        <f>D47</f>
        <v>490079.78096084902</v>
      </c>
    </row>
    <row r="57" spans="1:4">
      <c r="A57" t="str">
        <f>Dropdowns!C23</f>
        <v>1 bed, &lt; 120% Median Income</v>
      </c>
      <c r="B57" s="5">
        <f>B48</f>
        <v>128983.30582615582</v>
      </c>
    </row>
    <row r="58" spans="1:4">
      <c r="A58" t="str">
        <f>Dropdowns!C24</f>
        <v>2 bed, &lt; 120% Median Income</v>
      </c>
      <c r="B58" s="5">
        <f>C48</f>
        <v>208316.11870033143</v>
      </c>
    </row>
    <row r="59" spans="1:4">
      <c r="A59" t="str">
        <f>Dropdowns!C25</f>
        <v>3 bed, &lt; 120% Median Income</v>
      </c>
      <c r="B59" s="5">
        <f>D48</f>
        <v>323723.96365956846</v>
      </c>
    </row>
    <row r="60" spans="1:4">
      <c r="A60" t="str">
        <f>Dropdowns!C26</f>
        <v>1 bed, Workforce</v>
      </c>
      <c r="B60" s="5">
        <f>B49</f>
        <v>0</v>
      </c>
    </row>
    <row r="61" spans="1:4">
      <c r="A61" t="str">
        <f>Dropdowns!C27</f>
        <v>2 bed, Workforce</v>
      </c>
      <c r="B61" s="5">
        <f>C49</f>
        <v>29335.310269768059</v>
      </c>
    </row>
    <row r="62" spans="1:4">
      <c r="A62" t="str">
        <f>Dropdowns!C28</f>
        <v>3 bed, Workforce</v>
      </c>
      <c r="B62" s="5">
        <f>D49</f>
        <v>129551.61785711331</v>
      </c>
    </row>
  </sheetData>
  <sheetProtection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E63"/>
  <sheetViews>
    <sheetView topLeftCell="A13" workbookViewId="0">
      <selection activeCell="C38" sqref="C38"/>
    </sheetView>
  </sheetViews>
  <sheetFormatPr defaultColWidth="9.109375" defaultRowHeight="14.4"/>
  <cols>
    <col min="1" max="1" width="46.44140625" style="39" customWidth="1"/>
    <col min="2" max="2" width="9.109375" style="39" customWidth="1"/>
    <col min="3" max="3" width="23.5546875" style="39" customWidth="1"/>
    <col min="4" max="4" width="40.5546875" style="39" customWidth="1"/>
    <col min="5" max="5" width="40.109375" style="39" customWidth="1"/>
    <col min="6" max="16384" width="9.109375" style="39"/>
  </cols>
  <sheetData>
    <row r="1" spans="1:5">
      <c r="A1" s="42" t="s">
        <v>212</v>
      </c>
      <c r="B1" s="57"/>
      <c r="C1" s="57"/>
      <c r="D1" s="42" t="s">
        <v>190</v>
      </c>
      <c r="E1" s="42" t="s">
        <v>191</v>
      </c>
    </row>
    <row r="2" spans="1:5">
      <c r="A2" s="40" t="s">
        <v>197</v>
      </c>
      <c r="B2" s="40"/>
      <c r="C2" s="40" t="s">
        <v>217</v>
      </c>
      <c r="D2" s="39" t="s">
        <v>203</v>
      </c>
      <c r="E2" s="39" t="s">
        <v>203</v>
      </c>
    </row>
    <row r="3" spans="1:5">
      <c r="A3" s="40" t="s">
        <v>198</v>
      </c>
      <c r="B3" s="40"/>
      <c r="C3" s="40" t="s">
        <v>218</v>
      </c>
      <c r="D3" s="39" t="s">
        <v>215</v>
      </c>
      <c r="E3" s="39" t="s">
        <v>215</v>
      </c>
    </row>
    <row r="4" spans="1:5">
      <c r="A4" s="40" t="s">
        <v>213</v>
      </c>
      <c r="B4" s="40"/>
      <c r="C4" s="40" t="s">
        <v>219</v>
      </c>
      <c r="D4" s="39" t="s">
        <v>214</v>
      </c>
      <c r="E4" s="39" t="s">
        <v>214</v>
      </c>
    </row>
    <row r="5" spans="1:5" s="57" customFormat="1">
      <c r="A5" s="42" t="s">
        <v>38</v>
      </c>
      <c r="C5" s="40" t="s">
        <v>220</v>
      </c>
      <c r="D5" s="39" t="s">
        <v>216</v>
      </c>
      <c r="E5" s="39" t="s">
        <v>216</v>
      </c>
    </row>
    <row r="6" spans="1:5">
      <c r="A6" s="40" t="s">
        <v>0</v>
      </c>
      <c r="B6" s="40"/>
      <c r="C6" s="40" t="s">
        <v>61</v>
      </c>
      <c r="D6" s="39" t="str">
        <f>ROUND('Source Amount (6.3.3)'!$J$33,3)&amp;"*bedrooms"</f>
        <v>0.204*bedrooms</v>
      </c>
      <c r="E6" s="39" t="str">
        <f>ROUND('Source Amount (6.3.3)'!$J$37,3)&amp;"*bedrooms"</f>
        <v>0.204*bedrooms</v>
      </c>
    </row>
    <row r="7" spans="1:5">
      <c r="A7" s="40" t="s">
        <v>1</v>
      </c>
      <c r="B7" s="40"/>
      <c r="C7" s="40" t="s">
        <v>7</v>
      </c>
      <c r="D7" s="39" t="str">
        <f>ROUND('Source Amount (6.3.3)'!$D$33/1000,6)&amp;"*sf"</f>
        <v>0.000493*sf</v>
      </c>
      <c r="E7" s="39" t="str">
        <f>ROUND('Source Amount (6.3.3)'!$D$37/1000,6)&amp;"*sf"</f>
        <v>0.000431*sf</v>
      </c>
    </row>
    <row r="8" spans="1:5">
      <c r="A8" s="40" t="s">
        <v>192</v>
      </c>
      <c r="B8" s="40"/>
      <c r="C8" s="40" t="s">
        <v>221</v>
      </c>
      <c r="D8" s="39" t="str">
        <f>ROUND('Source Amount (6.3.3)'!$E$33/1000,6)&amp;"*sf"</f>
        <v>0.000431*sf</v>
      </c>
      <c r="E8" s="39" t="str">
        <f>ROUND('Source Amount (6.3.3)'!$E$37/1000,6)&amp;"*sf"</f>
        <v>0.000377*sf</v>
      </c>
    </row>
    <row r="9" spans="1:5">
      <c r="A9" s="40" t="s">
        <v>41</v>
      </c>
      <c r="B9" s="40"/>
      <c r="C9" s="40" t="s">
        <v>10</v>
      </c>
      <c r="D9" s="39" t="str">
        <f>ROUND('Source Amount (6.3.3)'!$F$33/1000,6)&amp;"*sf"</f>
        <v>0.001197*sf</v>
      </c>
      <c r="E9" s="39" t="str">
        <f>ROUND('Source Amount (6.3.3)'!$F$37/1000,6)&amp;"*sf"</f>
        <v>0.001045*sf</v>
      </c>
    </row>
    <row r="10" spans="1:5">
      <c r="A10" s="40" t="s">
        <v>42</v>
      </c>
      <c r="B10" s="40"/>
      <c r="C10" s="40" t="s">
        <v>222</v>
      </c>
      <c r="D10" s="39" t="str">
        <f>ROUND('Source Amount (6.3.3)'!$G$33/1000,6)&amp;"*sf"</f>
        <v>0.000013*sf</v>
      </c>
      <c r="E10" s="39" t="str">
        <f>ROUND('Source Amount (6.3.3)'!$G$37/1000,6)&amp;"*sf"</f>
        <v>0.000011*sf</v>
      </c>
    </row>
    <row r="11" spans="1:5">
      <c r="A11" s="40" t="s">
        <v>90</v>
      </c>
      <c r="B11" s="40"/>
      <c r="C11" s="40" t="s">
        <v>60</v>
      </c>
      <c r="D11" s="39" t="str">
        <f>ROUND('Source Amount (6.3.3)'!$H$33/1000,6)&amp;"*sf"</f>
        <v>0.000246*sf</v>
      </c>
      <c r="E11" s="39" t="str">
        <f>ROUND('Source Amount (6.3.3)'!$H$37/1000,6)&amp;"*sf"</f>
        <v>0.000214*sf</v>
      </c>
    </row>
    <row r="12" spans="1:5">
      <c r="A12" s="40" t="s">
        <v>43</v>
      </c>
      <c r="B12" s="40"/>
      <c r="C12" s="40" t="s">
        <v>223</v>
      </c>
      <c r="D12" s="39" t="s">
        <v>224</v>
      </c>
      <c r="E12" s="39" t="s">
        <v>224</v>
      </c>
    </row>
    <row r="13" spans="1:5">
      <c r="A13" s="40" t="s">
        <v>44</v>
      </c>
      <c r="B13" s="40"/>
      <c r="C13" s="40" t="s">
        <v>39</v>
      </c>
      <c r="D13" s="39" t="s">
        <v>225</v>
      </c>
      <c r="E13" s="39" t="s">
        <v>225</v>
      </c>
    </row>
    <row r="14" spans="1:5">
      <c r="A14" s="40" t="s">
        <v>45</v>
      </c>
      <c r="B14" s="40"/>
      <c r="C14" s="40"/>
    </row>
    <row r="15" spans="1:5">
      <c r="A15" s="40" t="s">
        <v>46</v>
      </c>
      <c r="B15" s="40"/>
      <c r="C15" s="40"/>
    </row>
    <row r="16" spans="1:5">
      <c r="A16" s="40" t="s">
        <v>47</v>
      </c>
      <c r="B16" s="40"/>
      <c r="C16" s="42" t="s">
        <v>234</v>
      </c>
    </row>
    <row r="17" spans="1:5">
      <c r="A17" s="40" t="s">
        <v>48</v>
      </c>
      <c r="B17" s="40"/>
      <c r="C17" s="40" t="s">
        <v>235</v>
      </c>
    </row>
    <row r="18" spans="1:5">
      <c r="A18" s="40" t="s">
        <v>2</v>
      </c>
      <c r="B18" s="40"/>
      <c r="C18" s="40" t="s">
        <v>236</v>
      </c>
    </row>
    <row r="19" spans="1:5">
      <c r="A19" s="40" t="s">
        <v>3</v>
      </c>
      <c r="B19" s="40"/>
      <c r="C19" s="40" t="s">
        <v>237</v>
      </c>
    </row>
    <row r="20" spans="1:5">
      <c r="A20" s="40" t="s">
        <v>4</v>
      </c>
      <c r="B20" s="40"/>
      <c r="C20" s="40" t="s">
        <v>246</v>
      </c>
    </row>
    <row r="21" spans="1:5">
      <c r="A21" s="40" t="s">
        <v>5</v>
      </c>
      <c r="B21" s="40"/>
      <c r="C21" s="40" t="s">
        <v>245</v>
      </c>
    </row>
    <row r="22" spans="1:5">
      <c r="A22" s="40" t="s">
        <v>6</v>
      </c>
      <c r="B22" s="40"/>
      <c r="C22" s="40" t="s">
        <v>244</v>
      </c>
    </row>
    <row r="23" spans="1:5">
      <c r="A23" s="40" t="s">
        <v>193</v>
      </c>
      <c r="B23" s="40"/>
      <c r="C23" s="40" t="s">
        <v>243</v>
      </c>
    </row>
    <row r="24" spans="1:5">
      <c r="A24" s="40" t="s">
        <v>7</v>
      </c>
      <c r="B24" s="40"/>
      <c r="C24" s="40" t="s">
        <v>242</v>
      </c>
    </row>
    <row r="25" spans="1:5">
      <c r="A25" s="40" t="s">
        <v>8</v>
      </c>
      <c r="B25" s="40"/>
      <c r="C25" s="40" t="s">
        <v>241</v>
      </c>
    </row>
    <row r="26" spans="1:5">
      <c r="A26" s="40" t="s">
        <v>9</v>
      </c>
      <c r="B26" s="40"/>
      <c r="C26" s="40" t="s">
        <v>238</v>
      </c>
    </row>
    <row r="27" spans="1:5">
      <c r="A27" s="40" t="s">
        <v>10</v>
      </c>
      <c r="B27" s="40"/>
      <c r="C27" s="40" t="s">
        <v>239</v>
      </c>
    </row>
    <row r="28" spans="1:5">
      <c r="A28" s="40" t="s">
        <v>11</v>
      </c>
      <c r="B28" s="40"/>
      <c r="C28" s="40" t="s">
        <v>240</v>
      </c>
      <c r="E28" s="40"/>
    </row>
    <row r="29" spans="1:5">
      <c r="A29" s="40" t="s">
        <v>12</v>
      </c>
      <c r="B29" s="40"/>
      <c r="C29" s="39" t="str">
        <f>""</f>
        <v/>
      </c>
      <c r="E29" s="40"/>
    </row>
    <row r="30" spans="1:5">
      <c r="A30" s="40" t="s">
        <v>13</v>
      </c>
      <c r="B30" s="40"/>
      <c r="C30" s="42" t="s">
        <v>247</v>
      </c>
      <c r="D30" s="40"/>
      <c r="E30" s="40"/>
    </row>
    <row r="31" spans="1:5">
      <c r="A31" s="40" t="s">
        <v>14</v>
      </c>
      <c r="B31" s="40"/>
      <c r="C31" s="40" t="s">
        <v>298</v>
      </c>
      <c r="D31" s="40"/>
      <c r="E31" s="40"/>
    </row>
    <row r="32" spans="1:5">
      <c r="A32" s="40" t="s">
        <v>15</v>
      </c>
      <c r="B32" s="40"/>
      <c r="C32" s="40" t="s">
        <v>299</v>
      </c>
      <c r="D32" s="40"/>
      <c r="E32" s="40"/>
    </row>
    <row r="33" spans="1:5">
      <c r="A33" s="40" t="s">
        <v>16</v>
      </c>
      <c r="B33" s="40"/>
      <c r="C33" s="40" t="s">
        <v>248</v>
      </c>
      <c r="D33" s="40"/>
      <c r="E33" s="40"/>
    </row>
    <row r="34" spans="1:5">
      <c r="A34" s="40" t="s">
        <v>17</v>
      </c>
      <c r="B34" s="40"/>
      <c r="C34" s="40" t="s">
        <v>249</v>
      </c>
      <c r="D34" s="40"/>
      <c r="E34" s="40"/>
    </row>
    <row r="35" spans="1:5">
      <c r="A35" s="40" t="s">
        <v>18</v>
      </c>
      <c r="B35" s="40"/>
      <c r="C35" s="40" t="s">
        <v>250</v>
      </c>
      <c r="D35" s="40"/>
      <c r="E35" s="40"/>
    </row>
    <row r="36" spans="1:5">
      <c r="A36" s="40" t="s">
        <v>272</v>
      </c>
      <c r="B36" s="40"/>
      <c r="C36" s="40" t="s">
        <v>251</v>
      </c>
      <c r="D36" s="40"/>
      <c r="E36" s="40"/>
    </row>
    <row r="37" spans="1:5">
      <c r="A37" s="40" t="s">
        <v>273</v>
      </c>
      <c r="B37" s="40"/>
      <c r="C37" s="39" t="str">
        <f>""</f>
        <v/>
      </c>
      <c r="D37" s="40"/>
      <c r="E37" s="40"/>
    </row>
    <row r="38" spans="1:5">
      <c r="A38" s="41" t="s">
        <v>19</v>
      </c>
      <c r="B38" s="41"/>
      <c r="C38" s="42" t="s">
        <v>266</v>
      </c>
      <c r="D38" s="41"/>
      <c r="E38" s="41"/>
    </row>
    <row r="39" spans="1:5">
      <c r="A39" s="41" t="s">
        <v>20</v>
      </c>
      <c r="B39" s="41"/>
      <c r="C39" s="40" t="s">
        <v>267</v>
      </c>
      <c r="D39" s="41"/>
      <c r="E39" s="41"/>
    </row>
    <row r="40" spans="1:5">
      <c r="A40" s="41" t="s">
        <v>21</v>
      </c>
      <c r="B40" s="41"/>
      <c r="C40" s="40" t="s">
        <v>268</v>
      </c>
      <c r="D40" s="41"/>
      <c r="E40" s="41"/>
    </row>
    <row r="41" spans="1:5">
      <c r="A41" s="41" t="s">
        <v>253</v>
      </c>
      <c r="B41" s="41"/>
      <c r="C41" s="40" t="s">
        <v>269</v>
      </c>
      <c r="D41" s="41"/>
      <c r="E41" s="41"/>
    </row>
    <row r="42" spans="1:5">
      <c r="A42" s="41" t="s">
        <v>254</v>
      </c>
      <c r="B42" s="41"/>
      <c r="C42" s="40" t="s">
        <v>270</v>
      </c>
      <c r="D42" s="41"/>
      <c r="E42" s="41"/>
    </row>
    <row r="43" spans="1:5">
      <c r="A43" s="41" t="s">
        <v>22</v>
      </c>
      <c r="B43" s="41"/>
      <c r="C43" s="41"/>
      <c r="D43" s="41"/>
      <c r="E43" s="41"/>
    </row>
    <row r="44" spans="1:5">
      <c r="A44" s="41" t="s">
        <v>23</v>
      </c>
      <c r="B44" s="41"/>
      <c r="C44" s="41"/>
      <c r="D44" s="41"/>
      <c r="E44" s="41"/>
    </row>
    <row r="45" spans="1:5">
      <c r="A45" s="41" t="s">
        <v>24</v>
      </c>
      <c r="B45" s="41"/>
      <c r="C45" s="41"/>
      <c r="D45" s="41"/>
      <c r="E45" s="41"/>
    </row>
    <row r="46" spans="1:5">
      <c r="A46" s="41" t="s">
        <v>25</v>
      </c>
      <c r="B46" s="41"/>
      <c r="C46" s="41"/>
      <c r="D46" s="41"/>
      <c r="E46" s="41"/>
    </row>
    <row r="47" spans="1:5">
      <c r="A47" s="41" t="s">
        <v>194</v>
      </c>
      <c r="B47" s="41"/>
      <c r="C47" s="41"/>
      <c r="D47" s="41"/>
      <c r="E47" s="41"/>
    </row>
    <row r="48" spans="1:5">
      <c r="A48" s="41" t="s">
        <v>26</v>
      </c>
      <c r="B48" s="41"/>
      <c r="C48" s="41"/>
      <c r="D48" s="41"/>
      <c r="E48" s="41"/>
    </row>
    <row r="49" spans="1:5">
      <c r="A49" s="41" t="s">
        <v>27</v>
      </c>
      <c r="B49" s="41"/>
      <c r="C49" s="41"/>
      <c r="D49" s="41"/>
      <c r="E49" s="41"/>
    </row>
    <row r="50" spans="1:5">
      <c r="A50" s="41" t="s">
        <v>28</v>
      </c>
      <c r="B50" s="41"/>
      <c r="C50" s="41"/>
      <c r="D50" s="41"/>
      <c r="E50" s="41"/>
    </row>
    <row r="51" spans="1:5">
      <c r="A51" s="41" t="s">
        <v>29</v>
      </c>
      <c r="B51" s="41"/>
      <c r="C51" s="41"/>
      <c r="D51" s="41"/>
      <c r="E51" s="41"/>
    </row>
    <row r="52" spans="1:5">
      <c r="A52" s="41" t="s">
        <v>30</v>
      </c>
      <c r="B52" s="41"/>
      <c r="C52" s="41"/>
      <c r="D52" s="41"/>
      <c r="E52" s="41"/>
    </row>
    <row r="53" spans="1:5">
      <c r="A53" s="41" t="s">
        <v>31</v>
      </c>
      <c r="B53" s="41"/>
      <c r="C53" s="41"/>
      <c r="D53" s="41"/>
      <c r="E53" s="41"/>
    </row>
    <row r="54" spans="1:5">
      <c r="A54" s="41" t="s">
        <v>32</v>
      </c>
      <c r="B54" s="41"/>
      <c r="C54" s="41"/>
      <c r="D54" s="41"/>
      <c r="E54" s="41"/>
    </row>
    <row r="55" spans="1:5">
      <c r="A55" s="41" t="s">
        <v>33</v>
      </c>
      <c r="B55" s="41"/>
      <c r="C55" s="41"/>
      <c r="D55" s="41"/>
      <c r="E55" s="41"/>
    </row>
    <row r="56" spans="1:5">
      <c r="A56" s="41" t="s">
        <v>34</v>
      </c>
      <c r="B56" s="41"/>
      <c r="C56" s="41"/>
      <c r="D56" s="41"/>
      <c r="E56" s="41"/>
    </row>
    <row r="57" spans="1:5">
      <c r="A57" s="41" t="s">
        <v>35</v>
      </c>
      <c r="B57" s="41"/>
      <c r="C57" s="41"/>
      <c r="D57" s="41"/>
      <c r="E57" s="41"/>
    </row>
    <row r="58" spans="1:5">
      <c r="A58" s="41" t="s">
        <v>36</v>
      </c>
      <c r="B58" s="41"/>
      <c r="C58" s="41"/>
      <c r="D58" s="41"/>
      <c r="E58" s="41"/>
    </row>
    <row r="59" spans="1:5">
      <c r="A59" s="41" t="s">
        <v>37</v>
      </c>
      <c r="B59" s="41"/>
      <c r="C59" s="41"/>
      <c r="D59" s="41"/>
      <c r="E59" s="41"/>
    </row>
    <row r="60" spans="1:5">
      <c r="A60" s="41" t="s">
        <v>285</v>
      </c>
    </row>
    <row r="61" spans="1:5">
      <c r="A61" s="41" t="s">
        <v>283</v>
      </c>
    </row>
    <row r="62" spans="1:5">
      <c r="A62" s="41" t="s">
        <v>282</v>
      </c>
    </row>
    <row r="63" spans="1:5">
      <c r="A63" s="41" t="s">
        <v>281</v>
      </c>
    </row>
  </sheetData>
  <sheetProtection sheet="1" objects="1" scenarios="1" selectLockedCell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Amount</vt:lpstr>
      <vt:lpstr>Unit Type</vt:lpstr>
      <vt:lpstr>Method</vt:lpstr>
      <vt:lpstr>Independent Calc</vt:lpstr>
      <vt:lpstr>Source Amount (6.3.3)</vt:lpstr>
      <vt:lpstr>Source Unit Type Mix (6.3.4)</vt:lpstr>
      <vt:lpstr>Source In-Lieu Fee (6.3.5.D.5)</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Norton</dc:creator>
  <cp:lastModifiedBy>Kristi Malone</cp:lastModifiedBy>
  <dcterms:created xsi:type="dcterms:W3CDTF">2018-03-06T13:23:21Z</dcterms:created>
  <dcterms:modified xsi:type="dcterms:W3CDTF">2019-06-12T19:31:35Z</dcterms:modified>
</cp:coreProperties>
</file>